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ois\sojdata\ITAXData\Revenue Policy\3 Tax Types\4 Land Taxes\Stamp Duty\Amd 22 (Higher rate Buy-to-let 2nd and Holiday homes)\Operations\"/>
    </mc:Choice>
  </mc:AlternateContent>
  <xr:revisionPtr revIDLastSave="0" documentId="13_ncr:1_{22AAFBFA-55CA-4A9C-AB1E-0A9CF87FBBBD}" xr6:coauthVersionLast="47" xr6:coauthVersionMax="47" xr10:uidLastSave="{00000000-0000-0000-0000-000000000000}"/>
  <bookViews>
    <workbookView xWindow="-120" yWindow="-120" windowWidth="29040" windowHeight="15225" xr2:uid="{00000000-000D-0000-FFFF-FFFF00000000}"/>
  </bookViews>
  <sheets>
    <sheet name="LTT" sheetId="1" r:id="rId1"/>
    <sheet name="Static" sheetId="4" state="hidden" r:id="rId2"/>
  </sheets>
  <definedNames>
    <definedName name="CR_Charge">Static!$H$68</definedName>
    <definedName name="CSI">Static!$L$4</definedName>
    <definedName name="CSI_Low">Static!$B$53</definedName>
    <definedName name="FT_BCharge">Static!$C$39</definedName>
    <definedName name="FT_Chg_Base">Static!$C$47</definedName>
    <definedName name="FT_Table">Static!$A$41:$G$43</definedName>
    <definedName name="FTB_Charge">Static!$H$44</definedName>
    <definedName name="FTB_Thresh">Static!$A$47</definedName>
    <definedName name="FTB_Thresh2">Static!$B$47</definedName>
    <definedName name="HR_charge">Static!$H$85</definedName>
    <definedName name="LTT_DUE2019">Static!$L$30</definedName>
    <definedName name="LTT_TMAIN">LTT!$D$4</definedName>
    <definedName name="LTT_TSUB">LTT!$D$7</definedName>
    <definedName name="LTT_VALUE">LTT!$D$10</definedName>
    <definedName name="_xlnm.Print_Area" localSheetId="1">Static!$A$1:$R$50</definedName>
    <definedName name="PROP_VALUE">LTT!$D$12</definedName>
    <definedName name="RMEB">Static!$B$14</definedName>
    <definedName name="S_Chg_Min">Static!$D$50</definedName>
    <definedName name="S_Chg_Min_11">Static!#REF!</definedName>
    <definedName name="S_Chg_Rate">Static!$C$50</definedName>
    <definedName name="S_R_Chg">Static!$B$50</definedName>
    <definedName name="S_Table">Static!$A$24:$G$35</definedName>
    <definedName name="SchgAmt">Static!$L$36</definedName>
    <definedName name="SI_CO">Static!$E$15</definedName>
    <definedName name="SR_BCharge">Static!$C$22</definedName>
    <definedName name="SR_Charge">Static!$H$36</definedName>
    <definedName name="STEP3A">Static!$M$29</definedName>
    <definedName name="STEP3B">Static!$M$31</definedName>
    <definedName name="TO_CO">Static!$E$8</definedName>
    <definedName name="TO_DECD">Static!$E$9</definedName>
    <definedName name="TO_FTB">Static!$E$7</definedName>
    <definedName name="TO_SJ_MARR">Static!$E$10</definedName>
    <definedName name="TO_SR">Static!$E$4</definedName>
    <definedName name="TOO">Static!$L$3</definedName>
    <definedName name="TOTAL_DUE">Static!$L$33</definedName>
    <definedName name="Trans_First">Static!$L$2:$N$4</definedName>
    <definedName name="Trans_Type">Static!$H$2:$H$3</definedName>
    <definedName name="TT_Charitable">Static!$B$8</definedName>
    <definedName name="TT_Decd">Static!$B$9</definedName>
    <definedName name="TT_FTB2">Static!$B$13</definedName>
    <definedName name="TT_Main">Static!$L$3:$L$4</definedName>
    <definedName name="TT_Married">Static!$B$10</definedName>
    <definedName name="TT_SJOTHER">Static!$B$11</definedName>
    <definedName name="TT_Standard">Static!$B$4</definedName>
    <definedName name="WARN_1">Static!$M$24</definedName>
    <definedName name="WARN_2">Static!$M$23</definedName>
    <definedName name="WARN_CSI_LOW">Static!$M$19</definedName>
    <definedName name="Warn_FTBCap">Static!$M$17</definedName>
    <definedName name="Warn_FTBTaper">Static!$M$20</definedName>
    <definedName name="Warn_PropVal">Static!$M$21</definedName>
    <definedName name="Warn_Total">Static!$M$16</definedName>
    <definedName name="Warn_Trans">Static!$M$18</definedName>
    <definedName name="YesNo">Static!$H$8:$H$9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4" l="1"/>
  <c r="M29" i="4"/>
  <c r="M17" i="4"/>
  <c r="M19" i="4"/>
  <c r="M20" i="4"/>
  <c r="H43" i="4"/>
  <c r="H83" i="4"/>
  <c r="E83" i="4"/>
  <c r="H82" i="4"/>
  <c r="E82" i="4"/>
  <c r="H81" i="4"/>
  <c r="E81" i="4"/>
  <c r="H80" i="4"/>
  <c r="E80" i="4"/>
  <c r="H79" i="4"/>
  <c r="E79" i="4"/>
  <c r="H78" i="4"/>
  <c r="E78" i="4"/>
  <c r="H77" i="4"/>
  <c r="E77" i="4"/>
  <c r="H76" i="4"/>
  <c r="E76" i="4"/>
  <c r="H75" i="4"/>
  <c r="E75" i="4"/>
  <c r="H74" i="4"/>
  <c r="H73" i="4"/>
  <c r="D5" i="4"/>
  <c r="H66" i="4"/>
  <c r="E66" i="4"/>
  <c r="H65" i="4"/>
  <c r="E65" i="4"/>
  <c r="H64" i="4"/>
  <c r="E64" i="4"/>
  <c r="H63" i="4"/>
  <c r="E63" i="4"/>
  <c r="E62" i="4"/>
  <c r="H62" i="4" s="1"/>
  <c r="H61" i="4"/>
  <c r="E61" i="4"/>
  <c r="H60" i="4"/>
  <c r="E60" i="4"/>
  <c r="H59" i="4"/>
  <c r="H58" i="4"/>
  <c r="D6" i="4"/>
  <c r="E27" i="4"/>
  <c r="E28" i="4"/>
  <c r="E29" i="4"/>
  <c r="E30" i="4"/>
  <c r="E31" i="4"/>
  <c r="E32" i="4"/>
  <c r="E33" i="4"/>
  <c r="E34" i="4"/>
  <c r="E26" i="4"/>
  <c r="H85" i="4" l="1"/>
  <c r="E5" i="4" s="1"/>
  <c r="H68" i="4"/>
  <c r="E6" i="4" s="1"/>
  <c r="G50" i="4"/>
  <c r="G52" i="4" s="1"/>
  <c r="B10" i="1" l="1"/>
  <c r="M31" i="4"/>
  <c r="B12" i="1" s="1"/>
  <c r="L27" i="4" l="1"/>
  <c r="D14" i="1"/>
  <c r="M24" i="4"/>
  <c r="D9" i="1" l="1"/>
  <c r="H42" i="4" l="1"/>
  <c r="D7" i="4"/>
  <c r="D8" i="4"/>
  <c r="D9" i="4"/>
  <c r="D10" i="4"/>
  <c r="D11" i="4"/>
  <c r="D12" i="4"/>
  <c r="D13" i="4"/>
  <c r="D15" i="4"/>
  <c r="D14" i="4"/>
  <c r="D4" i="4"/>
  <c r="H25" i="4"/>
  <c r="H26" i="4"/>
  <c r="H32" i="4"/>
  <c r="H33" i="4"/>
  <c r="H34" i="4"/>
  <c r="H24" i="4"/>
  <c r="E12" i="4" l="1"/>
  <c r="E14" i="4"/>
  <c r="H31" i="4" l="1"/>
  <c r="H30" i="4"/>
  <c r="H29" i="4"/>
  <c r="H28" i="4"/>
  <c r="H27" i="4"/>
  <c r="H36" i="4" l="1"/>
  <c r="H44" i="4" s="1"/>
  <c r="E13" i="4"/>
  <c r="E4" i="4" l="1"/>
  <c r="E11" i="4"/>
  <c r="E7" i="4"/>
  <c r="L30" i="4" l="1"/>
  <c r="D17" i="1" s="1"/>
  <c r="L36" i="4" l="1"/>
  <c r="D19" i="1" s="1"/>
  <c r="L33" i="4" s="1"/>
  <c r="D21" i="1" s="1"/>
</calcChain>
</file>

<file path=xl/sharedStrings.xml><?xml version="1.0" encoding="utf-8"?>
<sst xmlns="http://schemas.openxmlformats.org/spreadsheetml/2006/main" count="175" uniqueCount="88">
  <si>
    <t>Transfer of Ownership</t>
  </si>
  <si>
    <t>No</t>
  </si>
  <si>
    <t>Yes</t>
  </si>
  <si>
    <t>Surcharge</t>
  </si>
  <si>
    <t>Standard Rate</t>
  </si>
  <si>
    <t>First Time Buyer</t>
  </si>
  <si>
    <t>Secured Party in relation to a Charitable Occupier</t>
  </si>
  <si>
    <t>Re mortgage existing borrowing</t>
  </si>
  <si>
    <t>Charitable Occupier</t>
  </si>
  <si>
    <t>Devolution of deceased person's estate</t>
  </si>
  <si>
    <t>Sole ownership into joint ownership or joint ownership into sole ownership: -Matrimonial</t>
  </si>
  <si>
    <t>Sole ownership into joint ownership or joint ownership into sole ownership: -Other</t>
  </si>
  <si>
    <t>Creation of Security Interest</t>
  </si>
  <si>
    <t>First Time Buyer Threshold</t>
  </si>
  <si>
    <t>Charge</t>
  </si>
  <si>
    <t>Rate / £100</t>
  </si>
  <si>
    <t>Minimum</t>
  </si>
  <si>
    <t>Registration of Charge</t>
  </si>
  <si>
    <t>Basic Charge</t>
  </si>
  <si>
    <t>Min</t>
  </si>
  <si>
    <t>Max</t>
  </si>
  <si>
    <t>Band</t>
  </si>
  <si>
    <t>Amount</t>
  </si>
  <si>
    <t>A</t>
  </si>
  <si>
    <t>B</t>
  </si>
  <si>
    <t>C</t>
  </si>
  <si>
    <t>D</t>
  </si>
  <si>
    <t>E</t>
  </si>
  <si>
    <t>F</t>
  </si>
  <si>
    <t>G</t>
  </si>
  <si>
    <t>H</t>
  </si>
  <si>
    <t>Tax</t>
  </si>
  <si>
    <t>Unable to calculate</t>
  </si>
  <si>
    <t>Warnings</t>
  </si>
  <si>
    <t>Step 4</t>
  </si>
  <si>
    <t>Step 1</t>
  </si>
  <si>
    <t>Step 2</t>
  </si>
  <si>
    <t>Step 3</t>
  </si>
  <si>
    <t>Please select…..</t>
  </si>
  <si>
    <t>Please select correct transaction above</t>
  </si>
  <si>
    <t>Standard</t>
  </si>
  <si>
    <t>First Time</t>
  </si>
  <si>
    <t>I</t>
  </si>
  <si>
    <t>J</t>
  </si>
  <si>
    <t>First Time Buyer Taper Threshold</t>
  </si>
  <si>
    <t>FTB_Charge</t>
  </si>
  <si>
    <t>SR_Charge</t>
  </si>
  <si>
    <t>Residential property not exceeding 700K</t>
  </si>
  <si>
    <t>FTB Base</t>
  </si>
  <si>
    <t>check can be a decimal</t>
  </si>
  <si>
    <t>CSI Registration of Charge</t>
  </si>
  <si>
    <t>CSI S/Rate</t>
  </si>
  <si>
    <t>CSI Charge under £700k</t>
  </si>
  <si>
    <t>done check no rounding</t>
  </si>
  <si>
    <t>Max Value</t>
  </si>
  <si>
    <t>CSI Charge Lower</t>
  </si>
  <si>
    <t>Fixed</t>
  </si>
  <si>
    <t>2019 et seq</t>
  </si>
  <si>
    <t>static!$b$3</t>
  </si>
  <si>
    <t>static!$b$3:$c$3</t>
  </si>
  <si>
    <t>Done same as Standard CSI but only on excess of borrowing. Handled by note in red on screen</t>
  </si>
  <si>
    <t>done - check rounding of £100 - seems OK</t>
  </si>
  <si>
    <t>Additional Warnings</t>
  </si>
  <si>
    <t>LTT_Value</t>
  </si>
  <si>
    <t>Total Due</t>
  </si>
  <si>
    <t>Step 3 A</t>
  </si>
  <si>
    <t>Step 3 B</t>
  </si>
  <si>
    <t>Caution - Value of property less than amount being secured.</t>
  </si>
  <si>
    <t>Removed from calculator - refer PB</t>
  </si>
  <si>
    <t>Using Standard, however note: "The “value of the transaction” is either: 1) the consideration paid; or 2) where ½ the value of the land exceeds the consideration, ½ the value of the land.
The rate of LTT to be applied is based on the “value of the transaction”  
"</t>
  </si>
  <si>
    <t>Commerical Rate</t>
  </si>
  <si>
    <t>static!$b$4:$b$10</t>
  </si>
  <si>
    <t>static!$b$4:$c$10</t>
  </si>
  <si>
    <t>static!$b$11:$b$13</t>
  </si>
  <si>
    <t>static!$b$11:$c$13</t>
  </si>
  <si>
    <t>Commercial Rate</t>
  </si>
  <si>
    <t>Commercial</t>
  </si>
  <si>
    <t>Higher rate</t>
  </si>
  <si>
    <t>static!$b$12:$b$14</t>
  </si>
  <si>
    <t>static!$b$12:$c$14</t>
  </si>
  <si>
    <t>Higher</t>
  </si>
  <si>
    <r>
      <t>Land Transaction Tax Calculator</t>
    </r>
    <r>
      <rPr>
        <b/>
        <sz val="11"/>
        <color indexed="55"/>
        <rFont val="Calibri"/>
        <family val="2"/>
      </rPr>
      <t xml:space="preserve">  (Rates correct as at 1st January 2024)</t>
    </r>
  </si>
  <si>
    <t>Please select a transaction type</t>
  </si>
  <si>
    <t>Is surcharge due?</t>
  </si>
  <si>
    <t>Land Transaction Tax due</t>
  </si>
  <si>
    <t>Total amount due</t>
  </si>
  <si>
    <t>Select transaction type</t>
  </si>
  <si>
    <t>Select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</si>
</sst>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1"/>
      <color theme="1"/>
      <name val="Calibri"/>
      <family val="2"/>
      <scheme val="minor"/>
    </font>
    <font>
      <sz val="10"/>
      <name val="Arial"/>
      <family val="2"/>
    </font>
    <font>
      <b/>
      <sz val="10"/>
      <name val="Arial"/>
      <family val="2"/>
    </font>
    <font>
      <b/>
      <sz val="11"/>
      <color indexed="55"/>
      <name val="Calibri"/>
      <family val="2"/>
    </font>
    <font>
      <b/>
      <sz val="11"/>
      <color theme="1"/>
      <name val="Calibri"/>
      <family val="2"/>
      <scheme val="minor"/>
    </font>
    <font>
      <b/>
      <sz val="18"/>
      <color theme="1"/>
      <name val="Calibri"/>
      <family val="2"/>
      <scheme val="minor"/>
    </font>
    <font>
      <sz val="18"/>
      <color theme="1"/>
      <name val="Calibri"/>
      <family val="2"/>
      <scheme val="minor"/>
    </font>
    <font>
      <sz val="11"/>
      <color theme="0" tint="-0.499984740745262"/>
      <name val="Calibri"/>
      <family val="2"/>
      <scheme val="minor"/>
    </font>
    <font>
      <b/>
      <u/>
      <sz val="18"/>
      <color theme="1"/>
      <name val="Calibri"/>
      <family val="2"/>
      <scheme val="minor"/>
    </font>
    <font>
      <b/>
      <sz val="11"/>
      <color rgb="FFFF0000"/>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sz val="11"/>
      <color rgb="FF9C6500"/>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FFEB9C"/>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10" fillId="4" borderId="3" applyNumberFormat="0" applyAlignment="0" applyProtection="0"/>
    <xf numFmtId="0" fontId="11" fillId="5" borderId="3"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9" fontId="14" fillId="0" borderId="0" applyFont="0" applyFill="0" applyBorder="0" applyAlignment="0" applyProtection="0"/>
  </cellStyleXfs>
  <cellXfs count="7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wrapText="1"/>
    </xf>
    <xf numFmtId="0" fontId="5" fillId="0" borderId="0" xfId="0" applyFont="1" applyAlignment="1">
      <alignment horizontal="left" vertical="center"/>
    </xf>
    <xf numFmtId="0" fontId="6" fillId="0" borderId="0" xfId="0" applyFont="1"/>
    <xf numFmtId="164" fontId="4" fillId="0" borderId="0" xfId="0" applyNumberFormat="1"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8"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9" fillId="0" borderId="0" xfId="0" applyFont="1" applyAlignment="1">
      <alignment horizontal="center" vertical="center" wrapText="1"/>
    </xf>
    <xf numFmtId="0" fontId="0" fillId="0" borderId="0" xfId="0" quotePrefix="1" applyAlignment="1">
      <alignment horizontal="left" vertical="center"/>
    </xf>
    <xf numFmtId="0" fontId="1" fillId="0" borderId="0" xfId="1" applyAlignment="1">
      <alignment wrapText="1"/>
    </xf>
    <xf numFmtId="0" fontId="1" fillId="0" borderId="0" xfId="1" applyAlignment="1">
      <alignment horizontal="center" wrapText="1"/>
    </xf>
    <xf numFmtId="0" fontId="1" fillId="2" borderId="0" xfId="1" applyFill="1" applyAlignment="1">
      <alignment wrapText="1"/>
    </xf>
    <xf numFmtId="0" fontId="0" fillId="0" borderId="0" xfId="0" applyAlignment="1">
      <alignment wrapText="1"/>
    </xf>
    <xf numFmtId="0" fontId="2" fillId="0" borderId="0" xfId="1" applyFont="1" applyAlignment="1">
      <alignment wrapText="1"/>
    </xf>
    <xf numFmtId="0" fontId="0" fillId="3" borderId="0" xfId="0" applyFill="1" applyAlignment="1">
      <alignment wrapText="1"/>
    </xf>
    <xf numFmtId="0" fontId="2" fillId="0" borderId="0" xfId="1" applyFont="1" applyAlignment="1">
      <alignment horizontal="right"/>
    </xf>
    <xf numFmtId="0" fontId="0" fillId="0" borderId="0" xfId="0" applyAlignment="1">
      <alignment horizontal="right" wrapText="1"/>
    </xf>
    <xf numFmtId="0" fontId="1" fillId="0" borderId="0" xfId="1" applyAlignment="1">
      <alignment horizontal="right" wrapText="1"/>
    </xf>
    <xf numFmtId="0" fontId="11" fillId="5" borderId="3" xfId="3" applyAlignment="1">
      <alignment horizontal="right" wrapText="1"/>
    </xf>
    <xf numFmtId="0" fontId="10" fillId="4" borderId="3" xfId="2" applyAlignment="1">
      <alignment horizontal="right" wrapText="1"/>
    </xf>
    <xf numFmtId="0" fontId="4" fillId="0" borderId="0" xfId="0" applyFont="1"/>
    <xf numFmtId="0" fontId="1" fillId="0" borderId="0" xfId="1"/>
    <xf numFmtId="0" fontId="12" fillId="0" borderId="0" xfId="4" applyAlignment="1"/>
    <xf numFmtId="0" fontId="12" fillId="0" borderId="0" xfId="4" applyAlignment="1">
      <alignment horizontal="left"/>
    </xf>
    <xf numFmtId="0" fontId="12" fillId="0" borderId="0" xfId="4" applyAlignment="1">
      <alignment horizontal="center" wrapText="1"/>
    </xf>
    <xf numFmtId="0" fontId="1" fillId="0" borderId="4" xfId="1" applyBorder="1" applyAlignment="1">
      <alignment wrapText="1"/>
    </xf>
    <xf numFmtId="0" fontId="1" fillId="0" borderId="5" xfId="1" applyBorder="1" applyAlignment="1">
      <alignment wrapText="1"/>
    </xf>
    <xf numFmtId="0" fontId="1" fillId="0" borderId="5" xfId="1" applyBorder="1" applyAlignment="1">
      <alignment horizontal="center" wrapText="1"/>
    </xf>
    <xf numFmtId="0" fontId="1" fillId="0" borderId="5" xfId="1" applyBorder="1"/>
    <xf numFmtId="0" fontId="1" fillId="0" borderId="6" xfId="1" applyBorder="1" applyAlignment="1">
      <alignment wrapText="1"/>
    </xf>
    <xf numFmtId="0" fontId="2" fillId="0" borderId="7" xfId="1" applyFont="1" applyBorder="1" applyAlignment="1">
      <alignment wrapText="1"/>
    </xf>
    <xf numFmtId="0" fontId="1" fillId="0" borderId="8" xfId="1" applyBorder="1" applyAlignment="1">
      <alignment wrapText="1"/>
    </xf>
    <xf numFmtId="0" fontId="1" fillId="0" borderId="7" xfId="1" applyBorder="1" applyAlignment="1">
      <alignment wrapText="1"/>
    </xf>
    <xf numFmtId="0" fontId="2" fillId="0" borderId="8" xfId="1" applyFont="1" applyBorder="1" applyAlignment="1">
      <alignment wrapText="1"/>
    </xf>
    <xf numFmtId="0" fontId="1" fillId="0" borderId="9" xfId="1" applyBorder="1" applyAlignment="1">
      <alignment wrapText="1"/>
    </xf>
    <xf numFmtId="0" fontId="1" fillId="0" borderId="10" xfId="1" applyBorder="1" applyAlignment="1">
      <alignment wrapText="1"/>
    </xf>
    <xf numFmtId="0" fontId="1" fillId="0" borderId="10" xfId="1" applyBorder="1" applyAlignment="1">
      <alignment horizontal="center" wrapText="1"/>
    </xf>
    <xf numFmtId="0" fontId="1" fillId="0" borderId="10" xfId="1" applyBorder="1"/>
    <xf numFmtId="0" fontId="2" fillId="0" borderId="10" xfId="1" applyFont="1" applyBorder="1" applyAlignment="1">
      <alignment horizontal="right"/>
    </xf>
    <xf numFmtId="0" fontId="2" fillId="0" borderId="11" xfId="1" applyFont="1" applyBorder="1" applyAlignment="1">
      <alignment wrapText="1"/>
    </xf>
    <xf numFmtId="0" fontId="1" fillId="0" borderId="0" xfId="1" applyAlignment="1">
      <alignment horizontal="center"/>
    </xf>
    <xf numFmtId="0" fontId="0" fillId="0" borderId="7" xfId="0" applyBorder="1" applyAlignment="1">
      <alignment wrapText="1"/>
    </xf>
    <xf numFmtId="3" fontId="0" fillId="0" borderId="9" xfId="0" applyNumberFormat="1" applyBorder="1" applyAlignment="1">
      <alignment wrapText="1"/>
    </xf>
    <xf numFmtId="0" fontId="0" fillId="0" borderId="10" xfId="0" applyBorder="1" applyAlignment="1">
      <alignment wrapText="1"/>
    </xf>
    <xf numFmtId="0" fontId="1" fillId="0" borderId="11" xfId="1" applyBorder="1" applyAlignment="1">
      <alignment wrapText="1"/>
    </xf>
    <xf numFmtId="0" fontId="2" fillId="0" borderId="5" xfId="1" applyFont="1" applyBorder="1" applyAlignment="1">
      <alignment wrapText="1"/>
    </xf>
    <xf numFmtId="0" fontId="2" fillId="0" borderId="5" xfId="1" applyFont="1" applyBorder="1" applyAlignment="1">
      <alignment horizontal="center" wrapText="1"/>
    </xf>
    <xf numFmtId="0" fontId="2" fillId="0" borderId="5" xfId="1" applyFont="1" applyBorder="1"/>
    <xf numFmtId="0" fontId="1" fillId="0" borderId="6" xfId="1" applyBorder="1" applyAlignment="1">
      <alignment horizontal="center" wrapText="1"/>
    </xf>
    <xf numFmtId="0" fontId="2" fillId="0" borderId="9" xfId="1" applyFont="1" applyBorder="1" applyAlignment="1">
      <alignment wrapText="1"/>
    </xf>
    <xf numFmtId="0" fontId="2" fillId="0" borderId="10" xfId="1" applyFont="1" applyBorder="1" applyAlignment="1">
      <alignment horizontal="center" wrapText="1"/>
    </xf>
    <xf numFmtId="0" fontId="1" fillId="0" borderId="11" xfId="1" applyBorder="1" applyAlignment="1">
      <alignment horizontal="center" wrapText="1"/>
    </xf>
    <xf numFmtId="0" fontId="2" fillId="0" borderId="4" xfId="1" applyFont="1" applyBorder="1" applyAlignment="1">
      <alignment wrapText="1"/>
    </xf>
    <xf numFmtId="164" fontId="0" fillId="0" borderId="0" xfId="0" applyNumberFormat="1" applyAlignment="1">
      <alignment horizontal="center" vertical="center"/>
    </xf>
    <xf numFmtId="0" fontId="2" fillId="0" borderId="0" xfId="1" applyFont="1" applyAlignment="1">
      <alignment horizontal="center" wrapText="1"/>
    </xf>
    <xf numFmtId="0" fontId="11" fillId="5" borderId="3" xfId="3" applyAlignment="1">
      <alignment wrapText="1"/>
    </xf>
    <xf numFmtId="0" fontId="13" fillId="6" borderId="0" xfId="5" applyAlignment="1">
      <alignment wrapText="1"/>
    </xf>
    <xf numFmtId="0" fontId="11" fillId="5" borderId="3" xfId="3" applyAlignment="1">
      <alignment horizontal="center" wrapText="1"/>
    </xf>
    <xf numFmtId="2" fontId="1" fillId="0" borderId="7" xfId="1" applyNumberFormat="1" applyBorder="1" applyAlignment="1">
      <alignment wrapText="1"/>
    </xf>
    <xf numFmtId="165" fontId="0" fillId="0" borderId="0" xfId="6" applyNumberFormat="1" applyFont="1" applyAlignment="1">
      <alignment horizontal="center" vertical="center"/>
    </xf>
    <xf numFmtId="0" fontId="0" fillId="0" borderId="0" xfId="0" applyFont="1"/>
    <xf numFmtId="0" fontId="15" fillId="0" borderId="0" xfId="1" applyFont="1" applyAlignment="1">
      <alignment horizontal="left"/>
    </xf>
    <xf numFmtId="0" fontId="16" fillId="0" borderId="0" xfId="1" applyFont="1" applyAlignment="1">
      <alignment horizontal="center" wrapText="1"/>
    </xf>
    <xf numFmtId="0" fontId="11" fillId="5" borderId="3" xfId="3" applyFont="1" applyAlignment="1">
      <alignment wrapText="1"/>
    </xf>
    <xf numFmtId="0" fontId="0" fillId="0" borderId="0" xfId="0" applyFont="1" applyAlignment="1">
      <alignment wrapText="1"/>
    </xf>
    <xf numFmtId="0" fontId="17" fillId="0" borderId="0" xfId="1" applyFont="1" applyAlignment="1">
      <alignment horizontal="left"/>
    </xf>
  </cellXfs>
  <cellStyles count="7">
    <cellStyle name="Calculation" xfId="3" builtinId="22"/>
    <cellStyle name="Input" xfId="2" builtinId="20"/>
    <cellStyle name="Neutral" xfId="5" builtinId="28"/>
    <cellStyle name="Normal" xfId="0" builtinId="0"/>
    <cellStyle name="Normal 2" xfId="1" xr:uid="{00000000-0005-0000-0000-000004000000}"/>
    <cellStyle name="Percent" xfId="6" builtinId="5"/>
    <cellStyle name="Warning Text" xfId="4" builtinId="11"/>
  </cellStyles>
  <dxfs count="3">
    <dxf>
      <font>
        <color theme="0"/>
      </font>
      <fill>
        <patternFill>
          <bgColor theme="0"/>
        </patternFill>
      </fill>
    </dxf>
    <dxf>
      <font>
        <color theme="0"/>
      </font>
      <fill>
        <patternFill>
          <bgColor theme="0"/>
        </patternFill>
      </fill>
    </dxf>
    <dxf>
      <font>
        <b/>
        <i val="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314324</xdr:colOff>
      <xdr:row>0</xdr:row>
      <xdr:rowOff>133350</xdr:rowOff>
    </xdr:from>
    <xdr:to>
      <xdr:col>6</xdr:col>
      <xdr:colOff>295275</xdr:colOff>
      <xdr:row>25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34174" y="133350"/>
          <a:ext cx="2619376"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u="sng">
              <a:solidFill>
                <a:schemeClr val="dk1"/>
              </a:solidFill>
              <a:effectLst/>
              <a:latin typeface="+mn-lt"/>
              <a:ea typeface="+mn-ea"/>
              <a:cs typeface="+mn-cs"/>
            </a:rPr>
            <a:t>Instructions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Step 1 </a:t>
          </a:r>
          <a:r>
            <a:rPr lang="en-GB" sz="1100">
              <a:solidFill>
                <a:schemeClr val="dk1"/>
              </a:solidFill>
              <a:effectLst/>
              <a:latin typeface="+mn-lt"/>
              <a:ea typeface="+mn-ea"/>
              <a:cs typeface="+mn-cs"/>
            </a:rPr>
            <a:t>- Select from the drop down box whether transfer of ownership or creation of security interest.</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Step 2 </a:t>
          </a:r>
          <a:r>
            <a:rPr lang="en-GB" sz="1100">
              <a:solidFill>
                <a:schemeClr val="dk1"/>
              </a:solidFill>
              <a:effectLst/>
              <a:latin typeface="+mn-lt"/>
              <a:ea typeface="+mn-ea"/>
              <a:cs typeface="+mn-cs"/>
            </a:rPr>
            <a:t>- Select from drop down box</a:t>
          </a:r>
          <a:r>
            <a:rPr lang="en-GB" sz="1100" baseline="0">
              <a:solidFill>
                <a:schemeClr val="dk1"/>
              </a:solidFill>
              <a:effectLst/>
              <a:latin typeface="+mn-lt"/>
              <a:ea typeface="+mn-ea"/>
              <a:cs typeface="+mn-cs"/>
            </a:rPr>
            <a:t> the </a:t>
          </a:r>
          <a:r>
            <a:rPr lang="en-GB" sz="1100">
              <a:solidFill>
                <a:schemeClr val="dk1"/>
              </a:solidFill>
              <a:effectLst/>
              <a:latin typeface="+mn-lt"/>
              <a:ea typeface="+mn-ea"/>
              <a:cs typeface="+mn-cs"/>
            </a:rPr>
            <a:t>transaction being made.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Step 3 </a:t>
          </a:r>
          <a:r>
            <a:rPr lang="en-GB" sz="1100">
              <a:solidFill>
                <a:schemeClr val="dk1"/>
              </a:solidFill>
              <a:effectLst/>
              <a:latin typeface="+mn-lt"/>
              <a:ea typeface="+mn-ea"/>
              <a:cs typeface="+mn-cs"/>
            </a:rPr>
            <a:t>- Enter the value of property applicable to LTT or amount being secured.</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Step 4 </a:t>
          </a:r>
          <a:r>
            <a:rPr lang="en-GB" sz="1100">
              <a:solidFill>
                <a:schemeClr val="dk1"/>
              </a:solidFill>
              <a:effectLst/>
              <a:latin typeface="+mn-lt"/>
              <a:ea typeface="+mn-ea"/>
              <a:cs typeface="+mn-cs"/>
            </a:rPr>
            <a:t>- Select from drop down box whether surcharge is due.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b="1">
              <a:effectLst/>
            </a:rPr>
            <a:t>Finish</a:t>
          </a:r>
          <a:r>
            <a:rPr lang="en-GB">
              <a:effectLst/>
            </a:rPr>
            <a:t> - Complete the online form</a:t>
          </a:r>
          <a:r>
            <a:rPr lang="en-GB" baseline="0">
              <a:effectLst/>
            </a:rPr>
            <a:t> and make the payment.</a:t>
          </a:r>
          <a:endParaRPr lang="en-GB">
            <a:effectLst/>
          </a:endParaRPr>
        </a:p>
        <a:p>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When you fill out the land transaction form please make sure: </a:t>
          </a:r>
          <a:endParaRPr lang="en-GB" u="sng">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 You use the correct form (transfer of ownership or creation of security interest).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B.</a:t>
          </a:r>
          <a:r>
            <a:rPr lang="en-GB" sz="1100" baseline="0">
              <a:solidFill>
                <a:schemeClr val="dk1"/>
              </a:solidFill>
              <a:effectLst/>
              <a:latin typeface="+mn-lt"/>
              <a:ea typeface="+mn-ea"/>
              <a:cs typeface="+mn-cs"/>
            </a:rPr>
            <a:t> T</a:t>
          </a:r>
          <a:r>
            <a:rPr lang="en-GB" sz="1100">
              <a:solidFill>
                <a:schemeClr val="dk1"/>
              </a:solidFill>
              <a:effectLst/>
              <a:latin typeface="+mn-lt"/>
              <a:ea typeface="+mn-ea"/>
              <a:cs typeface="+mn-cs"/>
            </a:rPr>
            <a:t>hat you enter the correct information. </a:t>
          </a:r>
          <a:endParaRPr lang="en-GB">
            <a:effectLst/>
          </a:endParaRPr>
        </a:p>
        <a:p>
          <a:r>
            <a:rPr lang="en-GB" sz="1100">
              <a:solidFill>
                <a:schemeClr val="dk1"/>
              </a:solidFill>
              <a:effectLst/>
              <a:latin typeface="+mn-lt"/>
              <a:ea typeface="+mn-ea"/>
              <a:cs typeface="+mn-cs"/>
            </a:rPr>
            <a:t>C. You include your contact details in case of query.</a:t>
          </a:r>
        </a:p>
        <a:p>
          <a:endParaRPr lang="en-GB" sz="1100">
            <a:solidFill>
              <a:schemeClr val="dk1"/>
            </a:solidFill>
            <a:effectLst/>
            <a:latin typeface="+mn-lt"/>
            <a:ea typeface="+mn-ea"/>
            <a:cs typeface="+mn-cs"/>
          </a:endParaRPr>
        </a:p>
        <a:p>
          <a:r>
            <a:rPr lang="en-GB" sz="1100" b="1">
              <a:solidFill>
                <a:srgbClr val="FF0000"/>
              </a:solidFill>
              <a:effectLst/>
              <a:latin typeface="+mn-lt"/>
              <a:ea typeface="+mn-ea"/>
              <a:cs typeface="+mn-cs"/>
            </a:rPr>
            <a:t>If</a:t>
          </a:r>
          <a:r>
            <a:rPr lang="en-GB" sz="1100" b="1" baseline="0">
              <a:solidFill>
                <a:srgbClr val="FF0000"/>
              </a:solidFill>
              <a:effectLst/>
              <a:latin typeface="+mn-lt"/>
              <a:ea typeface="+mn-ea"/>
              <a:cs typeface="+mn-cs"/>
            </a:rPr>
            <a:t> you are calculating the LTT creation of a security interest on a re-mortgage, the value you enter on the form is the chargeable amount. (That is: the value of the new borrowing less the old borrowing. £0, if there is no additional borrowing) </a:t>
          </a:r>
          <a:endParaRPr lang="en-GB" sz="1100" b="1">
            <a:solidFill>
              <a:srgbClr val="FF0000"/>
            </a:solidFill>
            <a:effectLst/>
            <a:latin typeface="+mn-lt"/>
            <a:ea typeface="+mn-ea"/>
            <a:cs typeface="+mn-cs"/>
          </a:endParaRPr>
        </a:p>
        <a:p>
          <a:endParaRPr lang="en-GB" sz="1100" u="none"/>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4"/>
  <sheetViews>
    <sheetView showGridLines="0" tabSelected="1" zoomScaleNormal="100" workbookViewId="0">
      <selection activeCell="D7" sqref="D7"/>
    </sheetView>
  </sheetViews>
  <sheetFormatPr defaultRowHeight="23.25" x14ac:dyDescent="0.35"/>
  <cols>
    <col min="1" max="1" width="10.42578125" style="9" customWidth="1"/>
    <col min="2" max="2" width="20.85546875" style="12" customWidth="1"/>
    <col min="3" max="3" width="3.42578125" customWidth="1"/>
    <col min="4" max="4" width="61.5703125" style="1" customWidth="1"/>
    <col min="5" max="5" width="30.42578125" customWidth="1"/>
  </cols>
  <sheetData>
    <row r="1" spans="1:4" x14ac:dyDescent="0.35">
      <c r="A1" s="14" t="s">
        <v>81</v>
      </c>
      <c r="D1" s="11"/>
    </row>
    <row r="2" spans="1:4" ht="11.25" customHeight="1" x14ac:dyDescent="0.35">
      <c r="D2" s="10"/>
    </row>
    <row r="3" spans="1:4" x14ac:dyDescent="0.25">
      <c r="A3" s="8" t="s">
        <v>35</v>
      </c>
      <c r="B3" s="16"/>
    </row>
    <row r="4" spans="1:4" ht="19.5" customHeight="1" x14ac:dyDescent="0.35">
      <c r="B4" s="12" t="s">
        <v>86</v>
      </c>
      <c r="D4" s="5" t="s">
        <v>0</v>
      </c>
    </row>
    <row r="5" spans="1:4" ht="11.25" customHeight="1" x14ac:dyDescent="0.35">
      <c r="D5" s="10"/>
    </row>
    <row r="6" spans="1:4" x14ac:dyDescent="0.25">
      <c r="A6" s="8" t="s">
        <v>36</v>
      </c>
      <c r="B6" s="16"/>
    </row>
    <row r="7" spans="1:4" ht="39" customHeight="1" x14ac:dyDescent="0.35">
      <c r="B7" s="12" t="s">
        <v>87</v>
      </c>
      <c r="D7" s="4" t="s">
        <v>5</v>
      </c>
    </row>
    <row r="8" spans="1:4" ht="11.25" customHeight="1" x14ac:dyDescent="0.35">
      <c r="D8" s="17"/>
    </row>
    <row r="9" spans="1:4" x14ac:dyDescent="0.25">
      <c r="A9" s="8" t="s">
        <v>37</v>
      </c>
      <c r="B9" s="16"/>
      <c r="D9" s="15" t="str">
        <f ca="1">WARN_1</f>
        <v/>
      </c>
    </row>
    <row r="10" spans="1:4" ht="48.75" customHeight="1" x14ac:dyDescent="0.35">
      <c r="B10" s="13" t="str">
        <f>STEP3A</f>
        <v>Enter value of property applicable to Land Transaction Tax</v>
      </c>
      <c r="D10" s="3">
        <v>650000</v>
      </c>
    </row>
    <row r="11" spans="1:4" ht="3.75" customHeight="1" x14ac:dyDescent="0.35">
      <c r="B11" s="13"/>
      <c r="D11" s="63"/>
    </row>
    <row r="12" spans="1:4" ht="3.75" customHeight="1" x14ac:dyDescent="0.35">
      <c r="B12" s="13" t="str">
        <f>STEP3B</f>
        <v/>
      </c>
      <c r="D12" s="3">
        <v>500000</v>
      </c>
    </row>
    <row r="13" spans="1:4" ht="3.75" customHeight="1" x14ac:dyDescent="0.35">
      <c r="D13" s="2"/>
    </row>
    <row r="14" spans="1:4" ht="35.25" customHeight="1" x14ac:dyDescent="0.25">
      <c r="A14" s="8" t="s">
        <v>34</v>
      </c>
      <c r="D14" s="15" t="str">
        <f>WARN_2</f>
        <v>Value of transaction is greater than £600,000. Taper relief applied.</v>
      </c>
    </row>
    <row r="15" spans="1:4" ht="18.75" customHeight="1" x14ac:dyDescent="0.35">
      <c r="B15" s="12" t="s">
        <v>83</v>
      </c>
      <c r="D15" s="3" t="s">
        <v>1</v>
      </c>
    </row>
    <row r="16" spans="1:4" ht="11.25" customHeight="1" x14ac:dyDescent="0.35">
      <c r="D16" s="10"/>
    </row>
    <row r="17" spans="1:4" ht="22.5" customHeight="1" x14ac:dyDescent="0.35">
      <c r="B17" s="12" t="s">
        <v>84</v>
      </c>
      <c r="D17" s="6">
        <f ca="1">LTT_DUE2019</f>
        <v>8340</v>
      </c>
    </row>
    <row r="18" spans="1:4" ht="11.25" customHeight="1" x14ac:dyDescent="0.35">
      <c r="D18" s="10"/>
    </row>
    <row r="19" spans="1:4" x14ac:dyDescent="0.35">
      <c r="B19" s="12" t="s">
        <v>3</v>
      </c>
      <c r="D19" s="6">
        <f>SchgAmt</f>
        <v>0</v>
      </c>
    </row>
    <row r="20" spans="1:4" ht="11.25" customHeight="1" thickBot="1" x14ac:dyDescent="0.4">
      <c r="D20" s="10"/>
    </row>
    <row r="21" spans="1:4" ht="18.75" customHeight="1" thickTop="1" thickBot="1" x14ac:dyDescent="0.3">
      <c r="A21" s="8" t="s">
        <v>85</v>
      </c>
      <c r="D21" s="7">
        <f ca="1">TOTAL_DUE</f>
        <v>8340</v>
      </c>
    </row>
    <row r="22" spans="1:4" ht="11.25" customHeight="1" thickTop="1" x14ac:dyDescent="0.35">
      <c r="D22" s="10"/>
    </row>
    <row r="24" spans="1:4" ht="15" x14ac:dyDescent="0.25">
      <c r="A24" s="18"/>
      <c r="D24" s="69"/>
    </row>
  </sheetData>
  <sheetProtection sheet="1" selectLockedCells="1"/>
  <protectedRanges>
    <protectedRange algorithmName="SHA-512" hashValue="znC8St3UQVtRlKxX1SZnp/wMy+Rz2YX8QHtrSfKoPoyJj29Fskf7T3lmUhxuJF488FVKUja0bW25kSD5w7aQYg==" saltValue="ZBek08cYibfUboPaxX429A==" spinCount="100000" sqref="D4 D7 D10 D15" name="editable"/>
  </protectedRanges>
  <conditionalFormatting sqref="D8:D9">
    <cfRule type="cellIs" dxfId="2" priority="5" stopIfTrue="1" operator="equal">
      <formula>Warn_Trans</formula>
    </cfRule>
  </conditionalFormatting>
  <conditionalFormatting sqref="D10">
    <cfRule type="expression" dxfId="1" priority="1">
      <formula>OR($D$7=TT_Charitable,$D$7=TT_Decd,$D$7=TT_Married)</formula>
    </cfRule>
  </conditionalFormatting>
  <conditionalFormatting sqref="D12">
    <cfRule type="expression" dxfId="0" priority="2">
      <formula>LTT_TSUB&lt;&gt;TT_FTB2</formula>
    </cfRule>
  </conditionalFormatting>
  <dataValidations count="5">
    <dataValidation type="decimal" allowBlank="1" showInputMessage="1" showErrorMessage="1" errorTitle="Land Transaction Tax" error="You may only enter a positive number under £900,000,000.00 in this box." sqref="D10:D12" xr:uid="{00000000-0002-0000-0000-000000000000}">
      <formula1>0</formula1>
      <formula2>899999999</formula2>
    </dataValidation>
    <dataValidation type="list" showInputMessage="1" showErrorMessage="1" errorTitle="Land Transaction Tax" error="Please use the drop-down box to enter Yes or No." sqref="D15" xr:uid="{00000000-0002-0000-0000-000001000000}">
      <formula1>YesNo</formula1>
    </dataValidation>
    <dataValidation type="list" showInputMessage="1" showErrorMessage="1" sqref="D5" xr:uid="{00000000-0002-0000-0000-000002000000}">
      <formula1>TT_Main</formula1>
    </dataValidation>
    <dataValidation type="list" allowBlank="1" showErrorMessage="1" errorTitle="LTT Calculator" error="Please select a Transaction using the drop-down" sqref="D7" xr:uid="{00000000-0002-0000-0000-000003000000}">
      <formula1>INDIRECT(VLOOKUP(LTT_TMAIN,Trans_First,2,FALSE))</formula1>
    </dataValidation>
    <dataValidation type="list" showInputMessage="1" showErrorMessage="1" errorTitle="LTT Calculator" error="Please select a Transaction Type using the drop-down." sqref="D4" xr:uid="{00000000-0002-0000-0000-000004000000}">
      <formula1>TT_Main</formula1>
    </dataValidation>
  </dataValidation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85"/>
  <sheetViews>
    <sheetView zoomScale="90" zoomScaleNormal="90" workbookViewId="0">
      <selection activeCell="M24" sqref="M24"/>
    </sheetView>
  </sheetViews>
  <sheetFormatPr defaultColWidth="9.140625" defaultRowHeight="12.75" x14ac:dyDescent="0.2"/>
  <cols>
    <col min="1" max="1" width="21" style="19" customWidth="1"/>
    <col min="2" max="2" width="27.28515625" style="19" customWidth="1"/>
    <col min="3" max="3" width="21.85546875" style="20" customWidth="1"/>
    <col min="4" max="4" width="19.140625" style="31" customWidth="1"/>
    <col min="5" max="5" width="10.140625" style="19" customWidth="1"/>
    <col min="6" max="6" width="23.42578125" style="20" customWidth="1"/>
    <col min="7" max="7" width="9.140625" style="20"/>
    <col min="8" max="8" width="11.42578125" style="19" customWidth="1"/>
    <col min="9" max="10" width="1.140625" style="19" customWidth="1"/>
    <col min="11" max="11" width="1" style="21" customWidth="1"/>
    <col min="12" max="12" width="19.28515625" style="19" customWidth="1"/>
    <col min="13" max="13" width="26.42578125" style="20" bestFit="1" customWidth="1"/>
    <col min="14" max="14" width="36" style="19" customWidth="1"/>
    <col min="15" max="15" width="26.42578125" style="19" bestFit="1" customWidth="1"/>
    <col min="16" max="16" width="37.42578125" style="19" customWidth="1"/>
    <col min="17" max="17" width="16.42578125" style="27" customWidth="1"/>
    <col min="18" max="18" width="24.5703125" style="20" customWidth="1"/>
    <col min="19" max="16384" width="9.140625" style="19"/>
  </cols>
  <sheetData>
    <row r="1" spans="1:18" ht="15" x14ac:dyDescent="0.25">
      <c r="A1" s="23" t="s">
        <v>57</v>
      </c>
      <c r="L1" s="22"/>
      <c r="M1" s="22"/>
      <c r="N1" s="22"/>
      <c r="O1" s="22"/>
      <c r="P1" s="22"/>
      <c r="Q1" s="26"/>
      <c r="R1" s="22"/>
    </row>
    <row r="2" spans="1:18" ht="30" x14ac:dyDescent="0.25">
      <c r="A2" s="22"/>
      <c r="B2" s="22" t="s">
        <v>82</v>
      </c>
      <c r="C2" s="22"/>
      <c r="D2"/>
      <c r="E2" s="26"/>
      <c r="F2" s="22"/>
      <c r="H2" s="19" t="s">
        <v>17</v>
      </c>
      <c r="L2" s="22"/>
      <c r="M2" s="22" t="s">
        <v>58</v>
      </c>
      <c r="N2" s="22" t="s">
        <v>59</v>
      </c>
      <c r="O2" s="22"/>
      <c r="P2" s="22"/>
      <c r="Q2" s="26"/>
      <c r="R2" s="22"/>
    </row>
    <row r="3" spans="1:18" ht="30" x14ac:dyDescent="0.25">
      <c r="A3" s="22"/>
      <c r="B3" s="22" t="s">
        <v>38</v>
      </c>
      <c r="C3" s="22"/>
      <c r="D3"/>
      <c r="E3" s="26" t="s">
        <v>22</v>
      </c>
      <c r="F3" s="22"/>
      <c r="H3" s="19" t="s">
        <v>0</v>
      </c>
      <c r="L3" s="22" t="s">
        <v>0</v>
      </c>
      <c r="M3" s="22" t="s">
        <v>71</v>
      </c>
      <c r="N3" s="22" t="s">
        <v>72</v>
      </c>
      <c r="O3" s="22"/>
      <c r="P3" s="22"/>
      <c r="Q3" s="26"/>
      <c r="R3" s="22"/>
    </row>
    <row r="4" spans="1:18" ht="30" x14ac:dyDescent="0.25">
      <c r="A4" s="22" t="s">
        <v>0</v>
      </c>
      <c r="B4" s="22" t="s">
        <v>4</v>
      </c>
      <c r="C4" s="22" t="s">
        <v>0</v>
      </c>
      <c r="D4" t="str">
        <f>A4&amp;B4</f>
        <v>Transfer of OwnershipStandard Rate</v>
      </c>
      <c r="E4" s="28">
        <f>SR_Charge</f>
        <v>12590</v>
      </c>
      <c r="F4" s="32" t="s">
        <v>61</v>
      </c>
      <c r="L4" s="22" t="s">
        <v>12</v>
      </c>
      <c r="M4" s="22" t="s">
        <v>78</v>
      </c>
      <c r="N4" s="22" t="s">
        <v>79</v>
      </c>
      <c r="O4" s="22"/>
      <c r="P4" s="22"/>
      <c r="Q4" s="26"/>
      <c r="R4" s="22"/>
    </row>
    <row r="5" spans="1:18" ht="15" x14ac:dyDescent="0.25">
      <c r="A5" s="22" t="s">
        <v>0</v>
      </c>
      <c r="B5" s="22" t="s">
        <v>77</v>
      </c>
      <c r="C5" s="22" t="s">
        <v>0</v>
      </c>
      <c r="D5" t="str">
        <f>A5&amp;B5</f>
        <v>Transfer of OwnershipHigher rate</v>
      </c>
      <c r="E5" s="28">
        <f>HR_charge</f>
        <v>32090</v>
      </c>
      <c r="F5" s="32"/>
      <c r="L5" s="22"/>
      <c r="M5" s="22"/>
      <c r="N5" s="22"/>
      <c r="O5" s="22"/>
      <c r="P5" s="22"/>
      <c r="Q5" s="26"/>
      <c r="R5" s="22"/>
    </row>
    <row r="6" spans="1:18" ht="30" x14ac:dyDescent="0.25">
      <c r="A6" s="22" t="s">
        <v>0</v>
      </c>
      <c r="B6" s="22" t="s">
        <v>70</v>
      </c>
      <c r="C6" s="22" t="s">
        <v>0</v>
      </c>
      <c r="D6" t="str">
        <f>A6&amp;B6</f>
        <v>Transfer of OwnershipCommerical Rate</v>
      </c>
      <c r="E6" s="28">
        <f>CR_Charge</f>
        <v>11840</v>
      </c>
      <c r="F6" s="32"/>
      <c r="L6" s="22" t="s">
        <v>12</v>
      </c>
      <c r="M6" s="22" t="s">
        <v>73</v>
      </c>
      <c r="N6" s="22" t="s">
        <v>74</v>
      </c>
      <c r="O6" s="22"/>
      <c r="P6" s="22"/>
      <c r="Q6" s="26"/>
      <c r="R6" s="22"/>
    </row>
    <row r="7" spans="1:18" ht="15" x14ac:dyDescent="0.25">
      <c r="A7" s="22" t="s">
        <v>0</v>
      </c>
      <c r="B7" s="22" t="s">
        <v>5</v>
      </c>
      <c r="C7" s="22" t="s">
        <v>0</v>
      </c>
      <c r="D7" t="str">
        <f t="shared" ref="D7:D14" si="0">A7&amp;B7</f>
        <v>Transfer of OwnershipFirst Time Buyer</v>
      </c>
      <c r="E7" s="28">
        <f>FTB_Charge</f>
        <v>8340</v>
      </c>
      <c r="F7" s="33" t="s">
        <v>49</v>
      </c>
      <c r="L7" s="22"/>
      <c r="M7" s="22"/>
      <c r="N7" s="22"/>
      <c r="O7" s="22"/>
      <c r="P7" s="22"/>
      <c r="Q7" s="26"/>
      <c r="R7" s="22"/>
    </row>
    <row r="8" spans="1:18" ht="15" x14ac:dyDescent="0.25">
      <c r="A8" s="22" t="s">
        <v>0</v>
      </c>
      <c r="B8" s="22" t="s">
        <v>8</v>
      </c>
      <c r="C8" s="22" t="s">
        <v>0</v>
      </c>
      <c r="D8" t="str">
        <f t="shared" si="0"/>
        <v>Transfer of OwnershipCharitable Occupier</v>
      </c>
      <c r="E8" s="29">
        <v>180</v>
      </c>
      <c r="F8" s="34" t="s">
        <v>56</v>
      </c>
      <c r="H8" s="19" t="s">
        <v>2</v>
      </c>
      <c r="L8" s="22"/>
      <c r="M8" s="22"/>
      <c r="N8" s="22"/>
      <c r="O8" s="22"/>
      <c r="P8" s="22"/>
      <c r="Q8" s="26"/>
      <c r="R8" s="22"/>
    </row>
    <row r="9" spans="1:18" ht="30" x14ac:dyDescent="0.25">
      <c r="A9" s="22" t="s">
        <v>0</v>
      </c>
      <c r="B9" s="22" t="s">
        <v>9</v>
      </c>
      <c r="C9" s="22" t="s">
        <v>0</v>
      </c>
      <c r="D9" t="str">
        <f t="shared" si="0"/>
        <v>Transfer of OwnershipDevolution of deceased person's estate</v>
      </c>
      <c r="E9" s="29">
        <v>90</v>
      </c>
      <c r="F9" s="34" t="s">
        <v>56</v>
      </c>
      <c r="H9" s="19" t="s">
        <v>1</v>
      </c>
      <c r="L9" s="22"/>
      <c r="M9" s="22"/>
      <c r="N9" s="22"/>
      <c r="O9" s="22"/>
      <c r="P9" s="22"/>
      <c r="Q9" s="26"/>
      <c r="R9" s="22"/>
    </row>
    <row r="10" spans="1:18" ht="60" x14ac:dyDescent="0.25">
      <c r="A10" s="22" t="s">
        <v>0</v>
      </c>
      <c r="B10" s="22" t="s">
        <v>10</v>
      </c>
      <c r="C10" s="22" t="s">
        <v>0</v>
      </c>
      <c r="D10" t="str">
        <f t="shared" si="0"/>
        <v>Transfer of OwnershipSole ownership into joint ownership or joint ownership into sole ownership: -Matrimonial</v>
      </c>
      <c r="E10" s="29">
        <v>90</v>
      </c>
      <c r="F10" s="34" t="s">
        <v>56</v>
      </c>
      <c r="L10" s="22"/>
      <c r="M10" s="22"/>
      <c r="N10" s="22"/>
      <c r="O10" s="22"/>
      <c r="P10" s="22"/>
      <c r="Q10" s="26"/>
      <c r="R10" s="22"/>
    </row>
    <row r="11" spans="1:18" ht="195" x14ac:dyDescent="0.25">
      <c r="A11" s="22" t="s">
        <v>0</v>
      </c>
      <c r="B11" s="22" t="s">
        <v>11</v>
      </c>
      <c r="C11" s="22" t="s">
        <v>0</v>
      </c>
      <c r="D11" t="str">
        <f t="shared" si="0"/>
        <v>Transfer of OwnershipSole ownership into joint ownership or joint ownership into sole ownership: -Other</v>
      </c>
      <c r="E11" s="28">
        <f>SR_Charge</f>
        <v>12590</v>
      </c>
      <c r="F11" s="34" t="s">
        <v>69</v>
      </c>
      <c r="L11" s="22"/>
      <c r="M11" s="22"/>
      <c r="N11" s="22"/>
      <c r="O11" s="22"/>
      <c r="P11" s="22"/>
      <c r="Q11" s="26"/>
      <c r="R11" s="22"/>
    </row>
    <row r="12" spans="1:18" ht="30" x14ac:dyDescent="0.25">
      <c r="A12" s="22" t="s">
        <v>12</v>
      </c>
      <c r="B12" s="22" t="s">
        <v>4</v>
      </c>
      <c r="C12" s="22" t="s">
        <v>12</v>
      </c>
      <c r="D12" t="str">
        <f t="shared" si="0"/>
        <v>Creation of Security InterestStandard Rate</v>
      </c>
      <c r="E12" s="28">
        <f>G50</f>
        <v>3340</v>
      </c>
      <c r="F12" s="34" t="s">
        <v>61</v>
      </c>
      <c r="M12" s="22"/>
      <c r="N12" s="22"/>
      <c r="O12" s="22"/>
      <c r="P12" s="22"/>
      <c r="Q12" s="26"/>
    </row>
    <row r="13" spans="1:18" ht="30" x14ac:dyDescent="0.25">
      <c r="A13" s="22" t="s">
        <v>12</v>
      </c>
      <c r="B13" s="22" t="s">
        <v>47</v>
      </c>
      <c r="C13" s="22" t="s">
        <v>12</v>
      </c>
      <c r="D13" t="str">
        <f t="shared" si="0"/>
        <v>Creation of Security InterestResidential property not exceeding 700K</v>
      </c>
      <c r="E13" s="28">
        <f>G52</f>
        <v>90</v>
      </c>
      <c r="F13" s="34" t="s">
        <v>53</v>
      </c>
      <c r="M13" s="22"/>
      <c r="N13" s="22"/>
      <c r="O13" s="22"/>
      <c r="P13" s="22"/>
    </row>
    <row r="14" spans="1:18" ht="60" x14ac:dyDescent="0.25">
      <c r="A14" s="22" t="s">
        <v>12</v>
      </c>
      <c r="B14" s="22" t="s">
        <v>7</v>
      </c>
      <c r="C14" s="22" t="s">
        <v>12</v>
      </c>
      <c r="D14" t="str">
        <f t="shared" si="0"/>
        <v>Creation of Security InterestRe mortgage existing borrowing</v>
      </c>
      <c r="E14" s="28">
        <f>G50</f>
        <v>3340</v>
      </c>
      <c r="F14" s="34" t="s">
        <v>60</v>
      </c>
      <c r="M14" s="22"/>
      <c r="N14" s="22"/>
      <c r="O14" s="22"/>
      <c r="P14" s="22"/>
    </row>
    <row r="15" spans="1:18" ht="30" x14ac:dyDescent="0.25">
      <c r="A15" s="22" t="s">
        <v>12</v>
      </c>
      <c r="B15" s="22" t="s">
        <v>6</v>
      </c>
      <c r="C15" s="22" t="s">
        <v>12</v>
      </c>
      <c r="D15" t="str">
        <f>A15&amp;B15</f>
        <v>Creation of Security InterestSecured Party in relation to a Charitable Occupier</v>
      </c>
      <c r="E15" s="29">
        <v>180</v>
      </c>
      <c r="F15" s="34" t="s">
        <v>68</v>
      </c>
      <c r="M15" s="30" t="s">
        <v>33</v>
      </c>
      <c r="N15" s="22"/>
      <c r="O15" s="22"/>
      <c r="P15" s="22"/>
    </row>
    <row r="16" spans="1:18" ht="15" x14ac:dyDescent="0.25">
      <c r="A16" s="23"/>
      <c r="M16" s="70" t="s">
        <v>32</v>
      </c>
      <c r="N16" s="22"/>
      <c r="O16" s="22"/>
      <c r="P16" s="22"/>
    </row>
    <row r="17" spans="1:18" ht="15" x14ac:dyDescent="0.25">
      <c r="L17" s="22"/>
      <c r="M17" s="70" t="str">
        <f>"Value of transaction is greater than First Time Buyer threshold of £"&amp;TEXT(FTB_Thresh2,"#,#")&amp;". Standard Rate applied."</f>
        <v>Value of transaction is greater than First Time Buyer threshold of £700,000. Standard Rate applied.</v>
      </c>
      <c r="N17" s="22"/>
      <c r="O17" s="22"/>
      <c r="P17" s="22"/>
    </row>
    <row r="18" spans="1:18" ht="15" x14ac:dyDescent="0.25">
      <c r="L18" s="22"/>
      <c r="M18" s="75" t="s">
        <v>39</v>
      </c>
      <c r="N18" s="22"/>
      <c r="O18" s="22"/>
      <c r="P18" s="22"/>
    </row>
    <row r="19" spans="1:18" ht="15" x14ac:dyDescent="0.25">
      <c r="L19" s="22"/>
      <c r="M19" s="70" t="str">
        <f>"Value of property is greater than lower value threshold of £"&amp;TEXT(CSI_Low,"#,#")&amp;". Standard Rate applied."</f>
        <v>Value of property is greater than lower value threshold of £700,000. Standard Rate applied.</v>
      </c>
      <c r="N19" s="22"/>
      <c r="O19" s="22"/>
      <c r="P19" s="22"/>
      <c r="Q19" s="26"/>
      <c r="R19" s="22"/>
    </row>
    <row r="20" spans="1:18" ht="15" x14ac:dyDescent="0.25">
      <c r="L20" s="22"/>
      <c r="M20" s="70" t="str">
        <f>"Value of transaction is greater than £"&amp;TEXT(FTB_Thresh,"#,#")&amp;". Taper relief applied."</f>
        <v>Value of transaction is greater than £600,000. Taper relief applied.</v>
      </c>
      <c r="N20" s="22"/>
      <c r="O20" s="22"/>
      <c r="Q20" s="26"/>
    </row>
    <row r="21" spans="1:18" ht="15" x14ac:dyDescent="0.25">
      <c r="A21" s="35"/>
      <c r="B21" s="36" t="s">
        <v>40</v>
      </c>
      <c r="C21" s="37"/>
      <c r="D21" s="38"/>
      <c r="E21" s="36"/>
      <c r="F21" s="37"/>
      <c r="G21" s="37"/>
      <c r="H21" s="39"/>
      <c r="M21" s="71" t="s">
        <v>67</v>
      </c>
      <c r="N21" s="22"/>
      <c r="O21" s="22"/>
      <c r="Q21" s="26"/>
    </row>
    <row r="22" spans="1:18" ht="15" x14ac:dyDescent="0.25">
      <c r="A22" s="40" t="s">
        <v>4</v>
      </c>
      <c r="B22" s="23" t="s">
        <v>18</v>
      </c>
      <c r="C22" s="20">
        <v>90</v>
      </c>
      <c r="H22" s="41"/>
      <c r="M22" s="72" t="s">
        <v>62</v>
      </c>
      <c r="N22" s="22"/>
      <c r="O22" s="22"/>
      <c r="Q22" s="26"/>
    </row>
    <row r="23" spans="1:18" ht="45" x14ac:dyDescent="0.25">
      <c r="A23" s="42" t="s">
        <v>19</v>
      </c>
      <c r="B23" s="19" t="s">
        <v>20</v>
      </c>
      <c r="C23" s="20" t="s">
        <v>21</v>
      </c>
      <c r="D23" s="31" t="s">
        <v>14</v>
      </c>
      <c r="E23" s="19" t="s">
        <v>22</v>
      </c>
      <c r="F23" s="20" t="s">
        <v>15</v>
      </c>
      <c r="G23" s="20" t="s">
        <v>16</v>
      </c>
      <c r="H23" s="41"/>
      <c r="L23" s="22"/>
      <c r="M23" s="73" t="str">
        <f>IF(AND(LTT_TMAIN=TOO,LTT!D10&gt;FTB_Thresh2,ISERR(FIND("First Time",LTT!D7))=FALSE),Warn_FTBCap,IF(AND(LTT_TMAIN=TOO,LTT!D10&gt;FTB_Thresh,ISERR(FIND("First Time",LTT!D7))=FALSE),Warn_FTBTaper,IF(AND(LTT_TMAIN=CSI,PROP_VALUE&lt;LTT_VALUE,LTT_TSUB=TT_FTB2),Warn_PropVal,IF(AND(LTT_TMAIN=CSI,PROP_VALUE&gt;CSI_Low,LTT_TSUB=TT_FTB2),WARN_CSI_LOW,""))))</f>
        <v>Value of transaction is greater than £600,000. Taper relief applied.</v>
      </c>
      <c r="N23" s="22"/>
      <c r="O23" s="22"/>
      <c r="Q23" s="26"/>
    </row>
    <row r="24" spans="1:18" ht="15" x14ac:dyDescent="0.25">
      <c r="A24" s="42">
        <v>0</v>
      </c>
      <c r="B24" s="19">
        <v>0</v>
      </c>
      <c r="D24" s="31">
        <v>0</v>
      </c>
      <c r="E24" s="19">
        <v>0</v>
      </c>
      <c r="F24" s="20">
        <v>0</v>
      </c>
      <c r="G24" s="20">
        <v>0</v>
      </c>
      <c r="H24" s="43">
        <f t="shared" ref="H24:H34" si="1">IF(AND(LTT_VALUE&gt;=A24,LTT_VALUE&lt;=B24),MAX(D24+(ROUNDUP(((LTT_VALUE-E24)/100),0)*F24),G24),0)</f>
        <v>0</v>
      </c>
      <c r="I24" s="23"/>
      <c r="L24" s="22"/>
      <c r="M24" s="73" t="str">
        <f ca="1">IF(ISNA(VLOOKUP(LTT_TSUB,INDIRECT(VLOOKUP(LTT_TMAIN,Trans_First,3,FALSE)),2,FALSE)),Warn_Trans,"")</f>
        <v/>
      </c>
      <c r="N24" s="22"/>
      <c r="O24" s="22"/>
      <c r="Q24" s="26"/>
    </row>
    <row r="25" spans="1:18" ht="15" x14ac:dyDescent="0.25">
      <c r="A25" s="42">
        <v>0.01</v>
      </c>
      <c r="B25" s="19">
        <v>50000</v>
      </c>
      <c r="C25" s="20" t="s">
        <v>23</v>
      </c>
      <c r="D25" s="31">
        <v>0</v>
      </c>
      <c r="E25" s="19">
        <v>0</v>
      </c>
      <c r="F25" s="20">
        <v>0.5</v>
      </c>
      <c r="G25" s="20">
        <v>10</v>
      </c>
      <c r="H25" s="43">
        <f t="shared" si="1"/>
        <v>0</v>
      </c>
      <c r="I25" s="23"/>
      <c r="L25" s="22"/>
      <c r="M25" s="74"/>
      <c r="N25" s="22"/>
      <c r="O25" s="22"/>
      <c r="Q25" s="26"/>
    </row>
    <row r="26" spans="1:18" ht="15" x14ac:dyDescent="0.25">
      <c r="A26" s="42">
        <v>50000.01</v>
      </c>
      <c r="B26" s="19">
        <v>300000</v>
      </c>
      <c r="C26" s="20" t="s">
        <v>24</v>
      </c>
      <c r="D26" s="31">
        <v>250</v>
      </c>
      <c r="E26" s="19">
        <f>A26-0.01</f>
        <v>50000</v>
      </c>
      <c r="F26" s="20">
        <v>1.5</v>
      </c>
      <c r="G26" s="20">
        <v>0</v>
      </c>
      <c r="H26" s="43">
        <f t="shared" si="1"/>
        <v>0</v>
      </c>
      <c r="L26" s="22" t="s">
        <v>63</v>
      </c>
      <c r="M26" s="22"/>
      <c r="N26" s="22"/>
      <c r="O26" s="22"/>
      <c r="P26" s="22"/>
      <c r="Q26" s="26"/>
      <c r="R26" s="22"/>
    </row>
    <row r="27" spans="1:18" ht="15" x14ac:dyDescent="0.25">
      <c r="A27" s="42">
        <v>300000.01</v>
      </c>
      <c r="B27" s="19">
        <v>500000</v>
      </c>
      <c r="C27" s="20" t="s">
        <v>25</v>
      </c>
      <c r="D27" s="31">
        <v>4000</v>
      </c>
      <c r="E27" s="19">
        <f t="shared" ref="E27:E34" si="2">A27-0.01</f>
        <v>300000</v>
      </c>
      <c r="F27" s="20">
        <v>2</v>
      </c>
      <c r="G27" s="20">
        <v>0</v>
      </c>
      <c r="H27" s="43">
        <f t="shared" si="1"/>
        <v>0</v>
      </c>
      <c r="L27" s="66">
        <f>LTT_VALUE</f>
        <v>650000</v>
      </c>
    </row>
    <row r="28" spans="1:18" x14ac:dyDescent="0.2">
      <c r="A28" s="42">
        <v>500000.01</v>
      </c>
      <c r="B28" s="19">
        <v>700000</v>
      </c>
      <c r="C28" s="20" t="s">
        <v>26</v>
      </c>
      <c r="D28" s="31">
        <v>8000</v>
      </c>
      <c r="E28" s="19">
        <f t="shared" si="2"/>
        <v>500000</v>
      </c>
      <c r="F28" s="20">
        <v>3</v>
      </c>
      <c r="G28" s="20">
        <v>0</v>
      </c>
      <c r="H28" s="43">
        <f t="shared" si="1"/>
        <v>12500</v>
      </c>
      <c r="M28" s="64" t="s">
        <v>65</v>
      </c>
    </row>
    <row r="29" spans="1:18" ht="45" x14ac:dyDescent="0.25">
      <c r="A29" s="42">
        <v>700000.01</v>
      </c>
      <c r="B29" s="19">
        <v>1000000</v>
      </c>
      <c r="C29" s="20" t="s">
        <v>27</v>
      </c>
      <c r="D29" s="31">
        <v>14000</v>
      </c>
      <c r="E29" s="19">
        <f t="shared" si="2"/>
        <v>700000</v>
      </c>
      <c r="F29" s="20">
        <v>3.5</v>
      </c>
      <c r="G29" s="20">
        <v>0</v>
      </c>
      <c r="H29" s="43">
        <f t="shared" si="1"/>
        <v>0</v>
      </c>
      <c r="L29" s="22" t="s">
        <v>31</v>
      </c>
      <c r="M29" s="67" t="str">
        <f>IF(OR(LTT_TSUB=TT_Charitable,LTT_TSUB=TT_Decd,LTT_TSUB=TT_Married),"Fixed charge, Step 3 not required",IF(LTT_TSUB=RMEB,"Enter additional amount secured by the agreement",IF(LTT_TSUB=TT_FTB2,"A)   Enter amount secured by the security agreement",IF(LTT_TMAIN=TOO,"Enter value of property applicable to Land Transaction Tax",IF(LTT_TMAIN=CSI,"Enter amount secured by the security agreement","Please Select Transaction Type")))))</f>
        <v>Enter value of property applicable to Land Transaction Tax</v>
      </c>
    </row>
    <row r="30" spans="1:18" ht="15" x14ac:dyDescent="0.25">
      <c r="A30" s="42">
        <v>1000000.01</v>
      </c>
      <c r="B30" s="19">
        <v>1500000</v>
      </c>
      <c r="C30" s="20" t="s">
        <v>28</v>
      </c>
      <c r="D30" s="31">
        <v>24500</v>
      </c>
      <c r="E30" s="19">
        <f t="shared" si="2"/>
        <v>1000000</v>
      </c>
      <c r="F30" s="20">
        <v>4.5</v>
      </c>
      <c r="G30" s="20">
        <v>0</v>
      </c>
      <c r="H30" s="43">
        <f t="shared" si="1"/>
        <v>0</v>
      </c>
      <c r="L30" s="24">
        <f ca="1">IF(LTT!D9="Please select correct transaction above","Please select correct transaction",ROUND(INDEX(E4:E14,MATCH(LTT_TMAIN&amp;LTT_TSUB,Static!D4:D14,0)),2))</f>
        <v>8340</v>
      </c>
      <c r="M30" s="64" t="s">
        <v>66</v>
      </c>
    </row>
    <row r="31" spans="1:18" ht="15" x14ac:dyDescent="0.25">
      <c r="A31" s="42">
        <v>1500000.01</v>
      </c>
      <c r="B31" s="19">
        <v>2000000</v>
      </c>
      <c r="C31" s="20" t="s">
        <v>29</v>
      </c>
      <c r="D31" s="31">
        <v>47000</v>
      </c>
      <c r="E31" s="19">
        <f t="shared" si="2"/>
        <v>1500000</v>
      </c>
      <c r="F31" s="20">
        <v>5.5</v>
      </c>
      <c r="G31" s="20">
        <v>0</v>
      </c>
      <c r="H31" s="43">
        <f t="shared" si="1"/>
        <v>0</v>
      </c>
      <c r="M31" s="67" t="str">
        <f>IF(LTT_TSUB=TT_FTB2,"B)   Enter total value of property","")</f>
        <v/>
      </c>
    </row>
    <row r="32" spans="1:18" x14ac:dyDescent="0.2">
      <c r="A32" s="42">
        <v>2000000.01</v>
      </c>
      <c r="B32" s="19">
        <v>3000000</v>
      </c>
      <c r="C32" s="20" t="s">
        <v>30</v>
      </c>
      <c r="D32" s="31">
        <v>74500</v>
      </c>
      <c r="E32" s="19">
        <f t="shared" si="2"/>
        <v>2000000</v>
      </c>
      <c r="F32" s="20">
        <v>7.5</v>
      </c>
      <c r="G32" s="20">
        <v>0</v>
      </c>
      <c r="H32" s="43">
        <f t="shared" si="1"/>
        <v>0</v>
      </c>
      <c r="L32" s="19" t="s">
        <v>64</v>
      </c>
    </row>
    <row r="33" spans="1:12" ht="15" x14ac:dyDescent="0.25">
      <c r="A33" s="42">
        <v>3000000.01</v>
      </c>
      <c r="B33" s="19">
        <v>6000000</v>
      </c>
      <c r="C33" s="20" t="s">
        <v>42</v>
      </c>
      <c r="D33" s="31">
        <v>149500</v>
      </c>
      <c r="E33" s="19">
        <f t="shared" si="2"/>
        <v>3000000</v>
      </c>
      <c r="F33" s="20">
        <v>10</v>
      </c>
      <c r="G33" s="20">
        <v>0</v>
      </c>
      <c r="H33" s="43">
        <f t="shared" si="1"/>
        <v>0</v>
      </c>
      <c r="L33" s="65">
        <f ca="1">IF(LTT!D9=Warn_Trans,Warn_Total,IF(ISERR(LTT!D19+LTT!D17),Warn_Total,LTT!D19+LTT!D17))</f>
        <v>8340</v>
      </c>
    </row>
    <row r="34" spans="1:12" x14ac:dyDescent="0.2">
      <c r="A34" s="42">
        <v>6000000.0099999998</v>
      </c>
      <c r="B34" s="19">
        <v>90000000</v>
      </c>
      <c r="C34" s="20" t="s">
        <v>43</v>
      </c>
      <c r="D34" s="31">
        <v>449500</v>
      </c>
      <c r="E34" s="19">
        <f t="shared" si="2"/>
        <v>6000000</v>
      </c>
      <c r="F34" s="20">
        <v>11</v>
      </c>
      <c r="G34" s="20">
        <v>0</v>
      </c>
      <c r="H34" s="43">
        <f t="shared" si="1"/>
        <v>0</v>
      </c>
    </row>
    <row r="35" spans="1:12" x14ac:dyDescent="0.2">
      <c r="A35" s="68">
        <v>900000000.00999999</v>
      </c>
      <c r="H35" s="41"/>
      <c r="L35" s="19" t="s">
        <v>3</v>
      </c>
    </row>
    <row r="36" spans="1:12" ht="15" x14ac:dyDescent="0.25">
      <c r="A36" s="44"/>
      <c r="B36" s="45"/>
      <c r="C36" s="46"/>
      <c r="D36" s="47"/>
      <c r="E36" s="45"/>
      <c r="F36" s="46"/>
      <c r="G36" s="48" t="s">
        <v>46</v>
      </c>
      <c r="H36" s="49">
        <f>SUM(H24:H34)+SR_BCharge</f>
        <v>12590</v>
      </c>
      <c r="L36" s="65">
        <f>IFERROR(IF(LTT!D15="Yes",LTT!D17*0.1,0),"")</f>
        <v>0</v>
      </c>
    </row>
    <row r="37" spans="1:12" x14ac:dyDescent="0.2">
      <c r="G37" s="25"/>
      <c r="H37" s="23"/>
    </row>
    <row r="38" spans="1:12" x14ac:dyDescent="0.2">
      <c r="A38" s="35"/>
      <c r="B38" s="36" t="s">
        <v>41</v>
      </c>
      <c r="C38" s="37"/>
      <c r="D38" s="38"/>
      <c r="E38" s="36"/>
      <c r="F38" s="37"/>
      <c r="G38" s="37"/>
      <c r="H38" s="39"/>
    </row>
    <row r="39" spans="1:12" x14ac:dyDescent="0.2">
      <c r="A39" s="40" t="s">
        <v>5</v>
      </c>
      <c r="B39" s="23" t="s">
        <v>18</v>
      </c>
      <c r="C39" s="20">
        <v>90</v>
      </c>
      <c r="H39" s="41"/>
    </row>
    <row r="40" spans="1:12" x14ac:dyDescent="0.2">
      <c r="A40" s="42" t="s">
        <v>19</v>
      </c>
      <c r="B40" s="19" t="s">
        <v>20</v>
      </c>
      <c r="C40" s="20" t="s">
        <v>21</v>
      </c>
      <c r="D40" s="31" t="s">
        <v>14</v>
      </c>
      <c r="E40" s="19" t="s">
        <v>22</v>
      </c>
      <c r="F40" s="20" t="s">
        <v>15</v>
      </c>
      <c r="G40" s="20" t="s">
        <v>16</v>
      </c>
      <c r="H40" s="41"/>
    </row>
    <row r="41" spans="1:12" x14ac:dyDescent="0.2">
      <c r="A41" s="42">
        <v>0</v>
      </c>
      <c r="B41" s="19">
        <v>350000</v>
      </c>
      <c r="C41" s="20" t="s">
        <v>23</v>
      </c>
      <c r="D41" s="31">
        <v>0</v>
      </c>
      <c r="E41" s="19">
        <v>0</v>
      </c>
      <c r="F41" s="20">
        <v>0</v>
      </c>
      <c r="G41" s="20">
        <v>0</v>
      </c>
      <c r="H41" s="41">
        <v>0</v>
      </c>
    </row>
    <row r="42" spans="1:12" x14ac:dyDescent="0.2">
      <c r="A42" s="42">
        <v>350000.01</v>
      </c>
      <c r="B42" s="19">
        <v>600000</v>
      </c>
      <c r="C42" s="20" t="s">
        <v>24</v>
      </c>
      <c r="D42" s="31">
        <v>0</v>
      </c>
      <c r="E42" s="19">
        <v>600000</v>
      </c>
      <c r="F42" s="20">
        <v>1</v>
      </c>
      <c r="G42" s="20">
        <v>0</v>
      </c>
      <c r="H42" s="41">
        <f>IF(LTT_VALUE&lt;=FTB_Thresh,MAX(ROUNDUP(((LTT_VALUE-FT_Chg_Base)/100),0)*F42,G42),0)</f>
        <v>0</v>
      </c>
    </row>
    <row r="43" spans="1:12" x14ac:dyDescent="0.2">
      <c r="A43" s="42">
        <v>600000.01</v>
      </c>
      <c r="B43" s="19">
        <v>700000</v>
      </c>
      <c r="D43" s="50"/>
      <c r="E43" s="19">
        <v>0</v>
      </c>
      <c r="F43" s="20">
        <v>0</v>
      </c>
      <c r="G43" s="20">
        <v>0</v>
      </c>
      <c r="H43" s="41">
        <f>IF(AND(LTT_VALUE&gt;FTB_Thresh,LTT_VALUE&lt;=FTB_Thresh2),SR_Charge-SR_BCharge-(8500-((LTT_VALUE-600000)*8.5%)),0)</f>
        <v>8250</v>
      </c>
    </row>
    <row r="44" spans="1:12" x14ac:dyDescent="0.2">
      <c r="A44" s="42"/>
      <c r="G44" s="25" t="s">
        <v>45</v>
      </c>
      <c r="H44" s="43">
        <f>IF(LTT_VALUE&lt;=FTB_Thresh2,SUM(H41:H43)+FT_BCharge,SR_Charge)</f>
        <v>8340</v>
      </c>
    </row>
    <row r="45" spans="1:12" x14ac:dyDescent="0.2">
      <c r="A45" s="42"/>
      <c r="G45" s="25"/>
      <c r="H45" s="43"/>
    </row>
    <row r="46" spans="1:12" ht="30" x14ac:dyDescent="0.25">
      <c r="A46" s="51" t="s">
        <v>13</v>
      </c>
      <c r="B46" s="22" t="s">
        <v>44</v>
      </c>
      <c r="C46" s="20" t="s">
        <v>48</v>
      </c>
      <c r="H46" s="41"/>
    </row>
    <row r="47" spans="1:12" ht="15" x14ac:dyDescent="0.25">
      <c r="A47" s="52">
        <v>600000</v>
      </c>
      <c r="B47" s="53">
        <v>700000</v>
      </c>
      <c r="C47" s="45">
        <v>350000</v>
      </c>
      <c r="D47" s="47"/>
      <c r="E47" s="45"/>
      <c r="F47" s="46"/>
      <c r="G47" s="46"/>
      <c r="H47" s="54"/>
    </row>
    <row r="49" spans="1:8" x14ac:dyDescent="0.2">
      <c r="A49" s="35"/>
      <c r="B49" s="55" t="s">
        <v>14</v>
      </c>
      <c r="C49" s="56" t="s">
        <v>15</v>
      </c>
      <c r="D49" s="57" t="s">
        <v>16</v>
      </c>
      <c r="E49" s="36"/>
      <c r="F49" s="37"/>
      <c r="G49" s="58"/>
    </row>
    <row r="50" spans="1:8" ht="25.5" x14ac:dyDescent="0.2">
      <c r="A50" s="59" t="s">
        <v>50</v>
      </c>
      <c r="B50" s="45">
        <v>90</v>
      </c>
      <c r="C50" s="46">
        <v>0.5</v>
      </c>
      <c r="D50" s="47">
        <v>5</v>
      </c>
      <c r="E50" s="45"/>
      <c r="F50" s="60" t="s">
        <v>51</v>
      </c>
      <c r="G50" s="61">
        <f>IF(LTT_VALUE = 0,0,MAX(ROUNDUP(LTT_VALUE/100,0)*S_Chg_Rate,S_Chg_Min))+S_R_Chg</f>
        <v>3340</v>
      </c>
    </row>
    <row r="52" spans="1:8" ht="25.5" x14ac:dyDescent="0.2">
      <c r="A52" s="62" t="s">
        <v>52</v>
      </c>
      <c r="B52" s="36">
        <v>90</v>
      </c>
      <c r="C52" s="37"/>
      <c r="D52" s="38"/>
      <c r="E52" s="36"/>
      <c r="F52" s="56" t="s">
        <v>55</v>
      </c>
      <c r="G52" s="58">
        <f>IF(PROP_VALUE&lt;=CSI_Low,B52+(IF(PROP_VALUE&lt;=600000,0,0.5%*((PROP_VALUE-600000)/100000))*LTT_VALUE),G50)</f>
        <v>90</v>
      </c>
    </row>
    <row r="53" spans="1:8" x14ac:dyDescent="0.2">
      <c r="A53" s="44" t="s">
        <v>54</v>
      </c>
      <c r="B53" s="45">
        <v>700000</v>
      </c>
      <c r="C53" s="46"/>
      <c r="D53" s="47"/>
      <c r="E53" s="45"/>
      <c r="F53" s="46"/>
      <c r="G53" s="61"/>
    </row>
    <row r="55" spans="1:8" x14ac:dyDescent="0.2">
      <c r="A55" s="35"/>
      <c r="B55" s="36" t="s">
        <v>76</v>
      </c>
      <c r="C55" s="37"/>
      <c r="D55" s="38"/>
      <c r="E55" s="36"/>
      <c r="F55" s="37"/>
      <c r="G55" s="37"/>
      <c r="H55" s="39"/>
    </row>
    <row r="56" spans="1:8" x14ac:dyDescent="0.2">
      <c r="A56" s="40" t="s">
        <v>75</v>
      </c>
      <c r="B56" s="23" t="s">
        <v>18</v>
      </c>
      <c r="C56" s="20">
        <v>90</v>
      </c>
      <c r="H56" s="41"/>
    </row>
    <row r="57" spans="1:8" x14ac:dyDescent="0.2">
      <c r="A57" s="42" t="s">
        <v>19</v>
      </c>
      <c r="B57" s="19" t="s">
        <v>20</v>
      </c>
      <c r="C57" s="20" t="s">
        <v>21</v>
      </c>
      <c r="D57" s="31" t="s">
        <v>14</v>
      </c>
      <c r="E57" s="19" t="s">
        <v>22</v>
      </c>
      <c r="F57" s="20" t="s">
        <v>15</v>
      </c>
      <c r="G57" s="20" t="s">
        <v>16</v>
      </c>
      <c r="H57" s="41"/>
    </row>
    <row r="58" spans="1:8" x14ac:dyDescent="0.2">
      <c r="A58" s="42">
        <v>0</v>
      </c>
      <c r="B58" s="19">
        <v>0</v>
      </c>
      <c r="D58" s="31">
        <v>0</v>
      </c>
      <c r="E58" s="19">
        <v>0</v>
      </c>
      <c r="F58" s="20">
        <v>0</v>
      </c>
      <c r="G58" s="20">
        <v>0</v>
      </c>
      <c r="H58" s="43">
        <f t="shared" ref="H58:H66" si="3">IF(AND(LTT_VALUE&gt;=A58,LTT_VALUE&lt;=B58),MAX(D58+(ROUNDUP(((LTT_VALUE-E58)/100),0)*F58),G58),0)</f>
        <v>0</v>
      </c>
    </row>
    <row r="59" spans="1:8" x14ac:dyDescent="0.2">
      <c r="A59" s="42">
        <v>0.01</v>
      </c>
      <c r="B59" s="19">
        <v>50000</v>
      </c>
      <c r="C59" s="20" t="s">
        <v>23</v>
      </c>
      <c r="D59" s="31">
        <v>0</v>
      </c>
      <c r="E59" s="19">
        <v>0</v>
      </c>
      <c r="F59" s="20">
        <v>0.5</v>
      </c>
      <c r="G59" s="20">
        <v>10</v>
      </c>
      <c r="H59" s="43">
        <f t="shared" si="3"/>
        <v>0</v>
      </c>
    </row>
    <row r="60" spans="1:8" x14ac:dyDescent="0.2">
      <c r="A60" s="42">
        <v>50000.01</v>
      </c>
      <c r="B60" s="19">
        <v>300000</v>
      </c>
      <c r="C60" s="20" t="s">
        <v>24</v>
      </c>
      <c r="D60" s="31">
        <v>250</v>
      </c>
      <c r="E60" s="19">
        <f>A60-0.01</f>
        <v>50000</v>
      </c>
      <c r="F60" s="20">
        <v>1.5</v>
      </c>
      <c r="G60" s="20">
        <v>0</v>
      </c>
      <c r="H60" s="43">
        <f t="shared" si="3"/>
        <v>0</v>
      </c>
    </row>
    <row r="61" spans="1:8" x14ac:dyDescent="0.2">
      <c r="A61" s="42">
        <v>300000.01</v>
      </c>
      <c r="B61" s="19">
        <v>500000</v>
      </c>
      <c r="C61" s="20" t="s">
        <v>25</v>
      </c>
      <c r="D61" s="31">
        <v>4000</v>
      </c>
      <c r="E61" s="19">
        <f t="shared" ref="E61:E66" si="4">A61-0.01</f>
        <v>300000</v>
      </c>
      <c r="F61" s="20">
        <v>2</v>
      </c>
      <c r="G61" s="20">
        <v>0</v>
      </c>
      <c r="H61" s="43">
        <f t="shared" si="3"/>
        <v>0</v>
      </c>
    </row>
    <row r="62" spans="1:8" x14ac:dyDescent="0.2">
      <c r="A62" s="42">
        <v>500000.01</v>
      </c>
      <c r="B62" s="19">
        <v>700000</v>
      </c>
      <c r="C62" s="20" t="s">
        <v>26</v>
      </c>
      <c r="D62" s="31">
        <v>8000</v>
      </c>
      <c r="E62" s="19">
        <f t="shared" si="4"/>
        <v>500000</v>
      </c>
      <c r="F62" s="20">
        <v>2.5</v>
      </c>
      <c r="G62" s="20">
        <v>0</v>
      </c>
      <c r="H62" s="43">
        <f t="shared" si="3"/>
        <v>11750</v>
      </c>
    </row>
    <row r="63" spans="1:8" x14ac:dyDescent="0.2">
      <c r="A63" s="42">
        <v>700000.01</v>
      </c>
      <c r="B63" s="19">
        <v>1000000</v>
      </c>
      <c r="C63" s="20" t="s">
        <v>27</v>
      </c>
      <c r="D63" s="31">
        <v>13000</v>
      </c>
      <c r="E63" s="19">
        <f t="shared" si="4"/>
        <v>700000</v>
      </c>
      <c r="F63" s="20">
        <v>3</v>
      </c>
      <c r="G63" s="20">
        <v>0</v>
      </c>
      <c r="H63" s="43">
        <f t="shared" si="3"/>
        <v>0</v>
      </c>
    </row>
    <row r="64" spans="1:8" x14ac:dyDescent="0.2">
      <c r="A64" s="42">
        <v>1000000.01</v>
      </c>
      <c r="B64" s="19">
        <v>1500000</v>
      </c>
      <c r="C64" s="20" t="s">
        <v>28</v>
      </c>
      <c r="D64" s="31">
        <v>22000</v>
      </c>
      <c r="E64" s="19">
        <f t="shared" si="4"/>
        <v>1000000</v>
      </c>
      <c r="F64" s="20">
        <v>3.5</v>
      </c>
      <c r="G64" s="20">
        <v>0</v>
      </c>
      <c r="H64" s="43">
        <f t="shared" si="3"/>
        <v>0</v>
      </c>
    </row>
    <row r="65" spans="1:8" x14ac:dyDescent="0.2">
      <c r="A65" s="42">
        <v>1500000.01</v>
      </c>
      <c r="B65" s="19">
        <v>2000000</v>
      </c>
      <c r="C65" s="20" t="s">
        <v>29</v>
      </c>
      <c r="D65" s="31">
        <v>39500</v>
      </c>
      <c r="E65" s="19">
        <f t="shared" si="4"/>
        <v>1500000</v>
      </c>
      <c r="F65" s="20">
        <v>4</v>
      </c>
      <c r="G65" s="20">
        <v>0</v>
      </c>
      <c r="H65" s="43">
        <f t="shared" si="3"/>
        <v>0</v>
      </c>
    </row>
    <row r="66" spans="1:8" x14ac:dyDescent="0.2">
      <c r="A66" s="42">
        <v>2000000.01</v>
      </c>
      <c r="B66" s="19">
        <v>120000000</v>
      </c>
      <c r="C66" s="20" t="s">
        <v>30</v>
      </c>
      <c r="D66" s="31">
        <v>59500</v>
      </c>
      <c r="E66" s="19">
        <f t="shared" si="4"/>
        <v>2000000</v>
      </c>
      <c r="F66" s="20">
        <v>5</v>
      </c>
      <c r="G66" s="20">
        <v>0</v>
      </c>
      <c r="H66" s="43">
        <f t="shared" si="3"/>
        <v>0</v>
      </c>
    </row>
    <row r="67" spans="1:8" x14ac:dyDescent="0.2">
      <c r="A67" s="68"/>
      <c r="H67" s="41"/>
    </row>
    <row r="68" spans="1:8" x14ac:dyDescent="0.2">
      <c r="A68" s="44"/>
      <c r="B68" s="45"/>
      <c r="C68" s="46"/>
      <c r="D68" s="47"/>
      <c r="E68" s="45"/>
      <c r="F68" s="46"/>
      <c r="G68" s="48" t="s">
        <v>46</v>
      </c>
      <c r="H68" s="49">
        <f>SUM(H58:H66)+SR_BCharge</f>
        <v>11840</v>
      </c>
    </row>
    <row r="70" spans="1:8" x14ac:dyDescent="0.2">
      <c r="A70" s="35"/>
      <c r="B70" s="36" t="s">
        <v>80</v>
      </c>
      <c r="C70" s="37"/>
      <c r="D70" s="38"/>
      <c r="E70" s="36"/>
      <c r="F70" s="37"/>
      <c r="G70" s="37"/>
      <c r="H70" s="39"/>
    </row>
    <row r="71" spans="1:8" x14ac:dyDescent="0.2">
      <c r="A71" s="40" t="s">
        <v>77</v>
      </c>
      <c r="B71" s="23" t="s">
        <v>18</v>
      </c>
      <c r="C71" s="20">
        <v>90</v>
      </c>
      <c r="H71" s="41"/>
    </row>
    <row r="72" spans="1:8" x14ac:dyDescent="0.2">
      <c r="A72" s="42" t="s">
        <v>19</v>
      </c>
      <c r="B72" s="19" t="s">
        <v>20</v>
      </c>
      <c r="C72" s="20" t="s">
        <v>21</v>
      </c>
      <c r="D72" s="31" t="s">
        <v>14</v>
      </c>
      <c r="E72" s="19" t="s">
        <v>22</v>
      </c>
      <c r="F72" s="20" t="s">
        <v>15</v>
      </c>
      <c r="G72" s="20" t="s">
        <v>16</v>
      </c>
      <c r="H72" s="41"/>
    </row>
    <row r="73" spans="1:8" x14ac:dyDescent="0.2">
      <c r="A73" s="42">
        <v>0</v>
      </c>
      <c r="B73" s="19">
        <v>0</v>
      </c>
      <c r="D73" s="31">
        <v>0</v>
      </c>
      <c r="E73" s="19">
        <v>0</v>
      </c>
      <c r="F73" s="20">
        <v>0</v>
      </c>
      <c r="G73" s="20">
        <v>0</v>
      </c>
      <c r="H73" s="43">
        <f t="shared" ref="H73:H83" si="5">IF(AND(LTT_VALUE&gt;=A73,LTT_VALUE&lt;=B73),MAX(D73+(ROUNDUP(((LTT_VALUE-E73)/100),0)*F73),G73),0)</f>
        <v>0</v>
      </c>
    </row>
    <row r="74" spans="1:8" x14ac:dyDescent="0.2">
      <c r="A74" s="42">
        <v>0.01</v>
      </c>
      <c r="B74" s="19">
        <v>50000</v>
      </c>
      <c r="C74" s="20" t="s">
        <v>23</v>
      </c>
      <c r="D74" s="31">
        <v>0</v>
      </c>
      <c r="E74" s="19">
        <v>0</v>
      </c>
      <c r="F74" s="20">
        <v>3.5</v>
      </c>
      <c r="G74" s="20">
        <v>10</v>
      </c>
      <c r="H74" s="43">
        <f t="shared" si="5"/>
        <v>0</v>
      </c>
    </row>
    <row r="75" spans="1:8" x14ac:dyDescent="0.2">
      <c r="A75" s="42">
        <v>50000.01</v>
      </c>
      <c r="B75" s="19">
        <v>300000</v>
      </c>
      <c r="C75" s="20" t="s">
        <v>24</v>
      </c>
      <c r="D75" s="31">
        <v>1750</v>
      </c>
      <c r="E75" s="19">
        <f>A75-0.01</f>
        <v>50000</v>
      </c>
      <c r="F75" s="20">
        <v>4.5</v>
      </c>
      <c r="G75" s="20">
        <v>0</v>
      </c>
      <c r="H75" s="43">
        <f t="shared" si="5"/>
        <v>0</v>
      </c>
    </row>
    <row r="76" spans="1:8" x14ac:dyDescent="0.2">
      <c r="A76" s="42">
        <v>300000.01</v>
      </c>
      <c r="B76" s="19">
        <v>500000</v>
      </c>
      <c r="C76" s="20" t="s">
        <v>25</v>
      </c>
      <c r="D76" s="31">
        <v>13000</v>
      </c>
      <c r="E76" s="19">
        <f t="shared" ref="E76:E83" si="6">A76-0.01</f>
        <v>300000</v>
      </c>
      <c r="F76" s="20">
        <v>5</v>
      </c>
      <c r="G76" s="20">
        <v>0</v>
      </c>
      <c r="H76" s="43">
        <f t="shared" si="5"/>
        <v>0</v>
      </c>
    </row>
    <row r="77" spans="1:8" x14ac:dyDescent="0.2">
      <c r="A77" s="42">
        <v>500000.01</v>
      </c>
      <c r="B77" s="19">
        <v>700000</v>
      </c>
      <c r="C77" s="20" t="s">
        <v>26</v>
      </c>
      <c r="D77" s="31">
        <v>23000</v>
      </c>
      <c r="E77" s="19">
        <f t="shared" si="6"/>
        <v>500000</v>
      </c>
      <c r="F77" s="20">
        <v>6</v>
      </c>
      <c r="G77" s="20">
        <v>0</v>
      </c>
      <c r="H77" s="43">
        <f t="shared" si="5"/>
        <v>32000</v>
      </c>
    </row>
    <row r="78" spans="1:8" x14ac:dyDescent="0.2">
      <c r="A78" s="42">
        <v>700000.01</v>
      </c>
      <c r="B78" s="19">
        <v>1000000</v>
      </c>
      <c r="C78" s="20" t="s">
        <v>27</v>
      </c>
      <c r="D78" s="31">
        <v>35000</v>
      </c>
      <c r="E78" s="19">
        <f t="shared" si="6"/>
        <v>700000</v>
      </c>
      <c r="F78" s="20">
        <v>6.5</v>
      </c>
      <c r="G78" s="20">
        <v>0</v>
      </c>
      <c r="H78" s="43">
        <f t="shared" si="5"/>
        <v>0</v>
      </c>
    </row>
    <row r="79" spans="1:8" x14ac:dyDescent="0.2">
      <c r="A79" s="42">
        <v>1000000.01</v>
      </c>
      <c r="B79" s="19">
        <v>1500000</v>
      </c>
      <c r="C79" s="20" t="s">
        <v>28</v>
      </c>
      <c r="D79" s="31">
        <v>54500</v>
      </c>
      <c r="E79" s="19">
        <f t="shared" si="6"/>
        <v>1000000</v>
      </c>
      <c r="F79" s="20">
        <v>7.5</v>
      </c>
      <c r="G79" s="20">
        <v>0</v>
      </c>
      <c r="H79" s="43">
        <f t="shared" si="5"/>
        <v>0</v>
      </c>
    </row>
    <row r="80" spans="1:8" x14ac:dyDescent="0.2">
      <c r="A80" s="42">
        <v>1500000.01</v>
      </c>
      <c r="B80" s="19">
        <v>2000000</v>
      </c>
      <c r="C80" s="20" t="s">
        <v>29</v>
      </c>
      <c r="D80" s="31">
        <v>92000</v>
      </c>
      <c r="E80" s="19">
        <f t="shared" si="6"/>
        <v>1500000</v>
      </c>
      <c r="F80" s="20">
        <v>8.5</v>
      </c>
      <c r="G80" s="20">
        <v>0</v>
      </c>
      <c r="H80" s="43">
        <f t="shared" si="5"/>
        <v>0</v>
      </c>
    </row>
    <row r="81" spans="1:8" x14ac:dyDescent="0.2">
      <c r="A81" s="42">
        <v>2000000.01</v>
      </c>
      <c r="B81" s="19">
        <v>3000000</v>
      </c>
      <c r="C81" s="20" t="s">
        <v>30</v>
      </c>
      <c r="D81" s="31">
        <v>134500</v>
      </c>
      <c r="E81" s="19">
        <f t="shared" si="6"/>
        <v>2000000</v>
      </c>
      <c r="F81" s="20">
        <v>10.5</v>
      </c>
      <c r="G81" s="20">
        <v>0</v>
      </c>
      <c r="H81" s="43">
        <f t="shared" si="5"/>
        <v>0</v>
      </c>
    </row>
    <row r="82" spans="1:8" x14ac:dyDescent="0.2">
      <c r="A82" s="42">
        <v>3000000.01</v>
      </c>
      <c r="B82" s="19">
        <v>6000000</v>
      </c>
      <c r="C82" s="20" t="s">
        <v>42</v>
      </c>
      <c r="D82" s="31">
        <v>239500</v>
      </c>
      <c r="E82" s="19">
        <f t="shared" si="6"/>
        <v>3000000</v>
      </c>
      <c r="F82" s="20">
        <v>13</v>
      </c>
      <c r="G82" s="20">
        <v>0</v>
      </c>
      <c r="H82" s="43">
        <f t="shared" si="5"/>
        <v>0</v>
      </c>
    </row>
    <row r="83" spans="1:8" x14ac:dyDescent="0.2">
      <c r="A83" s="42">
        <v>6000000.0099999998</v>
      </c>
      <c r="B83" s="19">
        <v>90000000</v>
      </c>
      <c r="C83" s="20" t="s">
        <v>43</v>
      </c>
      <c r="D83" s="31">
        <v>629500</v>
      </c>
      <c r="E83" s="19">
        <f t="shared" si="6"/>
        <v>6000000</v>
      </c>
      <c r="F83" s="20">
        <v>14</v>
      </c>
      <c r="G83" s="20">
        <v>0</v>
      </c>
      <c r="H83" s="43">
        <f t="shared" si="5"/>
        <v>0</v>
      </c>
    </row>
    <row r="84" spans="1:8" x14ac:dyDescent="0.2">
      <c r="A84" s="68">
        <v>900000000.00999999</v>
      </c>
      <c r="H84" s="41"/>
    </row>
    <row r="85" spans="1:8" x14ac:dyDescent="0.2">
      <c r="A85" s="44"/>
      <c r="B85" s="45"/>
      <c r="C85" s="46"/>
      <c r="D85" s="47"/>
      <c r="E85" s="45"/>
      <c r="F85" s="46"/>
      <c r="G85" s="48" t="s">
        <v>46</v>
      </c>
      <c r="H85" s="49">
        <f>SUM(H73:H83)+SR_BCharge</f>
        <v>32090</v>
      </c>
    </row>
  </sheetData>
  <sheetProtection selectLockedCells="1" selectUnlockedCells="1"/>
  <printOptions gridLines="1"/>
  <pageMargins left="0" right="0.19685039370078741" top="0.35433070866141736" bottom="0.15748031496062992" header="0" footer="0.31496062992125984"/>
  <pageSetup paperSize="9" scale="6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_x0020_text_x0020_for_x0020_PDFs xmlns="f906fbab-2f75-4c55-9947-54e5e7fb542c" xsi:nil="true"/>
    <Form_x0020__x002d__x0020_no_x0020_of_x0020_pages xmlns="f906fbab-2f75-4c55-9947-54e5e7fb542c">2</Form_x0020__x002d__x0020_no_x0020_of_x0020_pages>
    <Form_x0020_can_x0020_be_x0020_submitted_x0020_by xmlns="f906fbab-2f75-4c55-9947-54e5e7fb542c"/>
    <Document_x0020_type xmlns="f906fbab-2f75-4c55-9947-54e5e7fb542c">Tax document</Document_x0020_type>
    <P_x0020__x0026__x0020_E_x0020_subcategories xmlns="f906fbab-2f75-4c55-9947-54e5e7fb542c" xsi:nil="true"/>
    <PDF_x0020_tagged_x0020_for_x0020_accessibilty xmlns="f906fbab-2f75-4c55-9947-54e5e7fb542c">No</PDF_x0020_tagged_x0020_for_x0020_accessibilty>
    <Additional_x0020_attachments_x0020_submitted_x0020_with_x0020_form_x003f_ xmlns="f906fbab-2f75-4c55-9947-54e5e7fb542c" xsi:nil="true"/>
    <Is_x0020_document_x0020_on_x0020_another_x0020_website_x003f__x0020_eg_x0020_States_x0020_Assembly xmlns="f906fbab-2f75-4c55-9947-54e5e7fb542c">false</Is_x0020_document_x0020_on_x0020_another_x0020_website_x003f__x0020_eg_x0020_States_x0020_Assembly>
    <Scanned_x0020_PDF xmlns="f906fbab-2f75-4c55-9947-54e5e7fb542c">No</Scanned_x0020_PDF>
    <Department_x0020__x0028_new_x0029_ xmlns="f906fbab-2f75-4c55-9947-54e5e7fb542c">11</Department_x0020__x0028_new_x0029_>
    <Could_x0020_this_x0020_be_x0020_a_x0020_web_x0020_page_x003f_ xmlns="f906fbab-2f75-4c55-9947-54e5e7fb542c">No</Could_x0020_this_x0020_be_x0020_a_x0020_web_x0020_page_x003f_>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74F6C7A3-5152-44E6-B3DD-4A3D598F9252}"/>
</file>

<file path=customXml/itemProps2.xml><?xml version="1.0" encoding="utf-8"?>
<ds:datastoreItem xmlns:ds="http://schemas.openxmlformats.org/officeDocument/2006/customXml" ds:itemID="{E9BE89AA-E9C4-44C8-B8DC-C8997321F830}"/>
</file>

<file path=customXml/itemProps3.xml><?xml version="1.0" encoding="utf-8"?>
<ds:datastoreItem xmlns:ds="http://schemas.openxmlformats.org/officeDocument/2006/customXml" ds:itemID="{221BFFD9-7FEE-4BFA-947A-9B1D4067EF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52</vt:i4>
      </vt:variant>
    </vt:vector>
  </HeadingPairs>
  <TitlesOfParts>
    <vt:vector size="54" baseType="lpstr">
      <vt:lpstr>LTT</vt:lpstr>
      <vt:lpstr>Static</vt:lpstr>
      <vt:lpstr>CR_Charge</vt:lpstr>
      <vt:lpstr>CSI</vt:lpstr>
      <vt:lpstr>CSI_Low</vt:lpstr>
      <vt:lpstr>FT_BCharge</vt:lpstr>
      <vt:lpstr>FT_Chg_Base</vt:lpstr>
      <vt:lpstr>FT_Table</vt:lpstr>
      <vt:lpstr>FTB_Charge</vt:lpstr>
      <vt:lpstr>FTB_Thresh</vt:lpstr>
      <vt:lpstr>FTB_Thresh2</vt:lpstr>
      <vt:lpstr>HR_charge</vt:lpstr>
      <vt:lpstr>LTT_DUE2019</vt:lpstr>
      <vt:lpstr>LTT_TMAIN</vt:lpstr>
      <vt:lpstr>LTT_TSUB</vt:lpstr>
      <vt:lpstr>LTT_VALUE</vt:lpstr>
      <vt:lpstr>Static!Print_Area</vt:lpstr>
      <vt:lpstr>PROP_VALUE</vt:lpstr>
      <vt:lpstr>RMEB</vt:lpstr>
      <vt:lpstr>S_Chg_Min</vt:lpstr>
      <vt:lpstr>S_Chg_Rate</vt:lpstr>
      <vt:lpstr>S_R_Chg</vt:lpstr>
      <vt:lpstr>S_Table</vt:lpstr>
      <vt:lpstr>SchgAmt</vt:lpstr>
      <vt:lpstr>SI_CO</vt:lpstr>
      <vt:lpstr>SR_BCharge</vt:lpstr>
      <vt:lpstr>SR_Charge</vt:lpstr>
      <vt:lpstr>STEP3A</vt:lpstr>
      <vt:lpstr>STEP3B</vt:lpstr>
      <vt:lpstr>TO_CO</vt:lpstr>
      <vt:lpstr>TO_DECD</vt:lpstr>
      <vt:lpstr>TO_FTB</vt:lpstr>
      <vt:lpstr>TO_SJ_MARR</vt:lpstr>
      <vt:lpstr>TO_SR</vt:lpstr>
      <vt:lpstr>TOO</vt:lpstr>
      <vt:lpstr>TOTAL_DUE</vt:lpstr>
      <vt:lpstr>Trans_First</vt:lpstr>
      <vt:lpstr>Trans_Type</vt:lpstr>
      <vt:lpstr>TT_Charitable</vt:lpstr>
      <vt:lpstr>TT_Decd</vt:lpstr>
      <vt:lpstr>TT_FTB2</vt:lpstr>
      <vt:lpstr>TT_Main</vt:lpstr>
      <vt:lpstr>TT_Married</vt:lpstr>
      <vt:lpstr>TT_SJOTHER</vt:lpstr>
      <vt:lpstr>TT_Standard</vt:lpstr>
      <vt:lpstr>WARN_1</vt:lpstr>
      <vt:lpstr>WARN_2</vt:lpstr>
      <vt:lpstr>WARN_CSI_LOW</vt:lpstr>
      <vt:lpstr>Warn_FTBCap</vt:lpstr>
      <vt:lpstr>Warn_FTBTaper</vt:lpstr>
      <vt:lpstr>Warn_PropVal</vt:lpstr>
      <vt:lpstr>Warn_Total</vt:lpstr>
      <vt:lpstr>Warn_Trans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Comptroller of Taxes</dc:creator>
  <cp:lastModifiedBy>Heather Morgan</cp:lastModifiedBy>
  <cp:lastPrinted>2018-12-20T09:15:41Z</cp:lastPrinted>
  <dcterms:created xsi:type="dcterms:W3CDTF">2012-09-12T14:22:44Z</dcterms:created>
  <dcterms:modified xsi:type="dcterms:W3CDTF">2023-12-08T14:26:26Z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LUE" linkTarget="PROP_VALUE">
    <vt:r8>500000</vt:r8>
  </property>
  <property fmtid="{D5CDD505-2E9C-101B-9397-08002B2CF9AE}" pid="3" name="ContentTypeId">
    <vt:lpwstr>0x0101008BA73D3394C66B42AFDD494ADBC50D74004E480268BE61764C950B62616F270E0A</vt:lpwstr>
  </property>
</Properties>
</file>